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ak\AppData\Local\Microsoft\Windows\INetCache\Content.Outlook\DUSD377H\"/>
    </mc:Choice>
  </mc:AlternateContent>
  <xr:revisionPtr revIDLastSave="0" documentId="13_ncr:1_{77B3697E-D7C0-49B8-BA69-143E4807321B}" xr6:coauthVersionLast="45" xr6:coauthVersionMax="45" xr10:uidLastSave="{00000000-0000-0000-0000-000000000000}"/>
  <bookViews>
    <workbookView xWindow="-103" yWindow="-103" windowWidth="16663" windowHeight="8863" tabRatio="344" activeTab="1" xr2:uid="{00000000-000D-0000-FFFF-FFFF00000000}"/>
  </bookViews>
  <sheets>
    <sheet name="COVER" sheetId="13" r:id="rId1"/>
    <sheet name="SUMMARY" sheetId="1" r:id="rId2"/>
    <sheet name="SCHED1-NAB" sheetId="14" r:id="rId3"/>
  </sheets>
  <definedNames>
    <definedName name="_xlnm.Print_Area" localSheetId="0">COVER!$A$1:$E$29</definedName>
    <definedName name="_xlnm.Print_Area" localSheetId="1">SUMMARY!$A$1:$F$207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C39" i="1"/>
  <c r="C31" i="1"/>
  <c r="B141" i="1" l="1"/>
  <c r="C124" i="1"/>
  <c r="B124" i="1"/>
  <c r="B80" i="1"/>
  <c r="B79" i="1"/>
  <c r="B78" i="1"/>
  <c r="B77" i="1"/>
  <c r="D37" i="1"/>
  <c r="B37" i="1"/>
  <c r="E104" i="1" l="1"/>
  <c r="D105" i="1"/>
  <c r="B105" i="1" s="1"/>
  <c r="E7" i="14" l="1"/>
  <c r="C150" i="1"/>
  <c r="B157" i="1"/>
  <c r="B150" i="1"/>
  <c r="C60" i="1" l="1"/>
  <c r="C59" i="1"/>
  <c r="C58" i="1"/>
  <c r="H11" i="14"/>
  <c r="H8" i="14"/>
  <c r="H12" i="14"/>
  <c r="E8" i="14"/>
  <c r="E9" i="14"/>
  <c r="E11" i="14"/>
  <c r="G9" i="14" l="1"/>
  <c r="G8" i="14"/>
  <c r="G6" i="14"/>
  <c r="E12" i="14"/>
  <c r="G12" i="14" s="1"/>
  <c r="E13" i="14"/>
  <c r="G13" i="14" s="1"/>
  <c r="G11" i="14"/>
  <c r="G10" i="14"/>
  <c r="G7" i="14"/>
  <c r="H7" i="14" s="1"/>
  <c r="H10" i="14" l="1"/>
  <c r="H9" i="14"/>
  <c r="H6" i="14"/>
  <c r="C54" i="1"/>
  <c r="C55" i="1"/>
  <c r="C56" i="1"/>
  <c r="C57" i="1"/>
  <c r="F43" i="1" l="1"/>
  <c r="E47" i="1"/>
  <c r="E44" i="1"/>
  <c r="E43" i="1"/>
  <c r="E42" i="1"/>
  <c r="E41" i="1"/>
  <c r="E40" i="1"/>
  <c r="E37" i="1"/>
  <c r="E36" i="1"/>
  <c r="E35" i="1"/>
  <c r="E34" i="1"/>
  <c r="E31" i="1"/>
  <c r="C47" i="1"/>
  <c r="C44" i="1"/>
  <c r="C43" i="1"/>
  <c r="C42" i="1"/>
  <c r="C40" i="1"/>
  <c r="C37" i="1"/>
  <c r="C36" i="1"/>
  <c r="C35" i="1"/>
  <c r="C34" i="1"/>
  <c r="E25" i="1"/>
  <c r="E23" i="1"/>
  <c r="E22" i="1"/>
  <c r="E21" i="1"/>
  <c r="E20" i="1"/>
  <c r="E19" i="1"/>
  <c r="E16" i="1"/>
  <c r="E15" i="1"/>
  <c r="E14" i="1"/>
  <c r="E13" i="1"/>
  <c r="E12" i="1"/>
  <c r="C25" i="1"/>
  <c r="C24" i="1"/>
  <c r="C23" i="1"/>
  <c r="C22" i="1"/>
  <c r="C20" i="1"/>
  <c r="C16" i="1"/>
  <c r="C15" i="1"/>
  <c r="C14" i="1"/>
  <c r="C13" i="1"/>
  <c r="C12" i="1"/>
  <c r="D33" i="1"/>
  <c r="E33" i="1" s="1"/>
  <c r="D32" i="1"/>
  <c r="E32" i="1" s="1"/>
  <c r="D24" i="1"/>
  <c r="E24" i="1" s="1"/>
  <c r="D17" i="1"/>
  <c r="E17" i="1" s="1"/>
  <c r="B32" i="1"/>
  <c r="C32" i="1" s="1"/>
  <c r="B33" i="1"/>
  <c r="C33" i="1" s="1"/>
  <c r="B41" i="1"/>
  <c r="C41" i="1" s="1"/>
  <c r="B19" i="1"/>
  <c r="C19" i="1" s="1"/>
  <c r="B17" i="1"/>
  <c r="C17" i="1" s="1"/>
  <c r="B21" i="1"/>
  <c r="C21" i="1" s="1"/>
  <c r="C18" i="1" l="1"/>
  <c r="D113" i="1"/>
  <c r="D109" i="1"/>
  <c r="C109" i="1" s="1"/>
  <c r="D106" i="1"/>
  <c r="C106" i="1" s="1"/>
  <c r="B118" i="1" l="1"/>
  <c r="C118" i="1" s="1"/>
  <c r="B117" i="1"/>
  <c r="C117" i="1" s="1"/>
  <c r="B116" i="1" l="1"/>
  <c r="C116" i="1" s="1"/>
  <c r="B115" i="1"/>
  <c r="C115" i="1" s="1"/>
  <c r="B114" i="1"/>
  <c r="C114" i="1" s="1"/>
  <c r="B113" i="1"/>
  <c r="C113" i="1" s="1"/>
  <c r="B112" i="1"/>
  <c r="C112" i="1" s="1"/>
  <c r="B111" i="1" l="1"/>
  <c r="C111" i="1" s="1"/>
  <c r="B108" i="1"/>
  <c r="C108" i="1" s="1"/>
  <c r="B110" i="1"/>
  <c r="C110" i="1" s="1"/>
  <c r="B107" i="1"/>
  <c r="C107" i="1" s="1"/>
  <c r="D97" i="1" l="1"/>
  <c r="E97" i="1" s="1"/>
  <c r="C99" i="1"/>
  <c r="D98" i="1"/>
  <c r="E98" i="1" s="1"/>
  <c r="B99" i="1" l="1"/>
  <c r="D99" i="1" s="1"/>
  <c r="E99" i="1" s="1"/>
  <c r="C153" i="1" l="1"/>
  <c r="B153" i="1"/>
  <c r="C148" i="1"/>
  <c r="C149" i="1" s="1"/>
  <c r="B148" i="1"/>
  <c r="C160" i="1"/>
  <c r="B160" i="1"/>
  <c r="B149" i="1" l="1"/>
  <c r="B154" i="1" s="1"/>
  <c r="B162" i="1" s="1"/>
  <c r="C154" i="1"/>
  <c r="C162" i="1" s="1"/>
  <c r="F41" i="1" l="1"/>
  <c r="F22" i="1"/>
  <c r="D18" i="1" l="1"/>
  <c r="E18" i="1" s="1"/>
  <c r="B18" i="1" l="1"/>
  <c r="F23" i="1" l="1"/>
  <c r="F42" i="1" l="1"/>
  <c r="C197" i="1" l="1"/>
  <c r="D197" i="1" s="1"/>
  <c r="C196" i="1"/>
  <c r="D196" i="1" s="1"/>
  <c r="B195" i="1"/>
  <c r="C195" i="1" s="1"/>
  <c r="D195" i="1" s="1"/>
  <c r="F47" i="1"/>
  <c r="F44" i="1"/>
  <c r="F40" i="1"/>
  <c r="F37" i="1"/>
  <c r="F36" i="1"/>
  <c r="F35" i="1"/>
  <c r="F34" i="1"/>
  <c r="F33" i="1"/>
  <c r="F31" i="1"/>
  <c r="F25" i="1"/>
  <c r="F24" i="1"/>
  <c r="F21" i="1"/>
  <c r="F20" i="1"/>
  <c r="F19" i="1"/>
  <c r="D70" i="1"/>
  <c r="F17" i="1"/>
  <c r="F16" i="1"/>
  <c r="F15" i="1"/>
  <c r="F14" i="1"/>
  <c r="F13" i="1"/>
  <c r="F12" i="1"/>
  <c r="C8" i="1"/>
  <c r="B8" i="1"/>
  <c r="D7" i="1"/>
  <c r="E7" i="1" s="1"/>
  <c r="D6" i="1"/>
  <c r="E6" i="1" s="1"/>
  <c r="F18" i="1" l="1"/>
  <c r="F26" i="1" s="1"/>
  <c r="D198" i="1"/>
  <c r="B26" i="1"/>
  <c r="C26" i="1"/>
  <c r="E196" i="1"/>
  <c r="E197" i="1"/>
  <c r="D8" i="1"/>
  <c r="E8" i="1" s="1"/>
  <c r="E26" i="1"/>
  <c r="B70" i="1"/>
  <c r="B198" i="1"/>
  <c r="C198" i="1" s="1"/>
  <c r="E195" i="1"/>
  <c r="D38" i="1"/>
  <c r="E38" i="1" s="1"/>
  <c r="F32" i="1"/>
  <c r="F38" i="1" s="1"/>
  <c r="F45" i="1" s="1"/>
  <c r="B38" i="1"/>
  <c r="D26" i="1"/>
  <c r="C38" i="1" l="1"/>
  <c r="C45" i="1" s="1"/>
  <c r="E198" i="1"/>
  <c r="B45" i="1"/>
  <c r="C46" i="1" s="1"/>
  <c r="B71" i="1"/>
  <c r="D71" i="1"/>
  <c r="D45" i="1"/>
  <c r="E46" i="1" s="1"/>
  <c r="E45" i="1"/>
  <c r="D72" i="1" l="1"/>
  <c r="B72" i="1"/>
  <c r="B49" i="1"/>
  <c r="C49" i="1"/>
  <c r="E49" i="1"/>
  <c r="D49" i="1"/>
  <c r="F49" i="1" l="1"/>
</calcChain>
</file>

<file path=xl/sharedStrings.xml><?xml version="1.0" encoding="utf-8"?>
<sst xmlns="http://schemas.openxmlformats.org/spreadsheetml/2006/main" count="269" uniqueCount="201">
  <si>
    <t>ALA Executive Board</t>
  </si>
  <si>
    <t>Controller's Report</t>
  </si>
  <si>
    <t>%</t>
  </si>
  <si>
    <t>NEAL SCHUMAN</t>
  </si>
  <si>
    <t>Change</t>
  </si>
  <si>
    <t>TOTAL LIABILITIES</t>
  </si>
  <si>
    <t>Total Assets</t>
  </si>
  <si>
    <t>Total Liabilities</t>
  </si>
  <si>
    <t>Net Assets</t>
  </si>
  <si>
    <t>LOAN AMOUNT</t>
  </si>
  <si>
    <t>DC</t>
  </si>
  <si>
    <t>CHOICE</t>
  </si>
  <si>
    <t>Line of Credit</t>
  </si>
  <si>
    <t>Ratio</t>
  </si>
  <si>
    <t>Required</t>
  </si>
  <si>
    <t>Cash to Debt Ratio</t>
  </si>
  <si>
    <t>1.1:1.0</t>
  </si>
  <si>
    <t>TO:</t>
  </si>
  <si>
    <t>DATE:</t>
  </si>
  <si>
    <t>RE:</t>
  </si>
  <si>
    <t>Presented for information</t>
  </si>
  <si>
    <t>CONTACT PERSON:</t>
  </si>
  <si>
    <t>Joanne Lee, Controller, 312-280-4254</t>
  </si>
  <si>
    <t>BACKGROUND:</t>
  </si>
  <si>
    <t>Grants and Awards</t>
  </si>
  <si>
    <t>TOTAL ALA</t>
  </si>
  <si>
    <t xml:space="preserve"> </t>
  </si>
  <si>
    <t>The Controller submits a quarterly information report to the Executive Board on the following:</t>
  </si>
  <si>
    <t>Page #</t>
  </si>
  <si>
    <t>ACTION REQUESTED/</t>
  </si>
  <si>
    <t>INFORMATION REPORT:</t>
  </si>
  <si>
    <t>ORIGINAL</t>
  </si>
  <si>
    <t>PRINCIPAL</t>
  </si>
  <si>
    <t>PAYMENTS MADE</t>
  </si>
  <si>
    <t>LOAN BALANCE</t>
  </si>
  <si>
    <t>Change %</t>
  </si>
  <si>
    <r>
      <rPr>
        <b/>
        <sz val="20"/>
        <color rgb="FFFF0000"/>
        <rFont val="Arial"/>
        <family val="2"/>
      </rPr>
      <t>ALA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rgb="FF0070C0"/>
        <rFont val="Arial"/>
        <family val="2"/>
      </rPr>
      <t>American Library Association</t>
    </r>
  </si>
  <si>
    <t>The Association has obtained a term loan from JP Morgan CHASE in the amount of $10,100,000 on July 2, 2012. The loan is to support the acquisition of</t>
  </si>
  <si>
    <t>Connecticut, to fund a swap termination payment, and to fund certain costs of issuance.</t>
  </si>
  <si>
    <t>In April 2015, The Association submitted a request to the Executive Board for approval to refinance ALA's existing loan, which was approved.</t>
  </si>
  <si>
    <t>On August 3, 2015, the modification of ALA's loan with JPMorgan Chase has closed.</t>
  </si>
  <si>
    <t>ASSETS</t>
  </si>
  <si>
    <t>% to</t>
  </si>
  <si>
    <t xml:space="preserve">Change  </t>
  </si>
  <si>
    <t>Cash</t>
  </si>
  <si>
    <t>Short-Term Investment</t>
  </si>
  <si>
    <t>Accounts Receivable, Net</t>
  </si>
  <si>
    <t>Grants Receivable</t>
  </si>
  <si>
    <t>Inventories, Net</t>
  </si>
  <si>
    <t>Prepaid Expenses</t>
  </si>
  <si>
    <t>Total Current Assets</t>
  </si>
  <si>
    <t>Fixed Assets, Net</t>
  </si>
  <si>
    <t>Goodwill</t>
  </si>
  <si>
    <t>Intangible Assets, Net</t>
  </si>
  <si>
    <t>Due To/From</t>
  </si>
  <si>
    <t>TOTAL ASSETS</t>
  </si>
  <si>
    <t xml:space="preserve">LIABILITIES </t>
  </si>
  <si>
    <t xml:space="preserve">% to  </t>
  </si>
  <si>
    <t>Current Portion, L-T Debt</t>
  </si>
  <si>
    <t>Accounts Payable</t>
  </si>
  <si>
    <t xml:space="preserve">Accrued Payroll </t>
  </si>
  <si>
    <t>Deferred Membership</t>
  </si>
  <si>
    <t>Deferred Subscriptions</t>
  </si>
  <si>
    <t>Deferred Conferences</t>
  </si>
  <si>
    <t>Total Current Liabilities</t>
  </si>
  <si>
    <t>NET ASSET BALANCE</t>
  </si>
  <si>
    <t>TOTAL LIABILITIES/NET ASSET BALANCE</t>
  </si>
  <si>
    <t>1 - 2</t>
  </si>
  <si>
    <t>December 2017</t>
  </si>
  <si>
    <t>December 2016</t>
  </si>
  <si>
    <t>August 2017</t>
  </si>
  <si>
    <t>August 2016</t>
  </si>
  <si>
    <t>April 2017</t>
  </si>
  <si>
    <t>February 2017</t>
  </si>
  <si>
    <t>% of total liabilities to total liabilities and net asset balance</t>
  </si>
  <si>
    <t>February 2018</t>
  </si>
  <si>
    <t>2018 Annual Audit</t>
  </si>
  <si>
    <t>April 2018</t>
  </si>
  <si>
    <t>Long-Term Certificate of Deposit</t>
  </si>
  <si>
    <t>January 2020</t>
  </si>
  <si>
    <t>January 2019</t>
  </si>
  <si>
    <t>FY20 - FY19</t>
  </si>
  <si>
    <t>Capital Lease Obligation - Long-Term</t>
  </si>
  <si>
    <t>August 2018</t>
  </si>
  <si>
    <t>April 2019</t>
  </si>
  <si>
    <t>August 2019</t>
  </si>
  <si>
    <t>August 2015</t>
  </si>
  <si>
    <t>August 2014</t>
  </si>
  <si>
    <t>August 2013</t>
  </si>
  <si>
    <t>August 2012</t>
  </si>
  <si>
    <t>CASH TO DEBT RATIO</t>
  </si>
  <si>
    <t>CASH AND EQUIVALENT</t>
  </si>
  <si>
    <t>SHORT-TERM INVESTMENT</t>
  </si>
  <si>
    <t>LONG-TERM INVESTMENT</t>
  </si>
  <si>
    <t>TOTAL CASH AND INVESTMENTS</t>
  </si>
  <si>
    <t>TEMPORARILY RESTRICTED NET ASSETS</t>
  </si>
  <si>
    <t>PERMANENTLY RESTRICTED NET ASSETS</t>
  </si>
  <si>
    <t>DEFERRED REVENUE</t>
  </si>
  <si>
    <t>NET ASSETS AND DEFERRED REVENUE</t>
  </si>
  <si>
    <t>UNRESTRICTED CASH AND INVESTMENT(A)</t>
  </si>
  <si>
    <t>CURRENT PORTION OF LONG-TERM DEBT</t>
  </si>
  <si>
    <t>LINE OF CREDIT</t>
  </si>
  <si>
    <t>TOTAL INDEBTEDNESS(B)</t>
  </si>
  <si>
    <t>CASH TO DEBT RATIO (A/B)</t>
  </si>
  <si>
    <t>CASH TO DEBT BENCHMARK</t>
  </si>
  <si>
    <t>1.1 TO 1.0</t>
  </si>
  <si>
    <t>CHANGE</t>
  </si>
  <si>
    <t>CURRENT ASSETS</t>
  </si>
  <si>
    <t xml:space="preserve">     CURRENT LIABILITIES</t>
  </si>
  <si>
    <t xml:space="preserve">  Working Capital:</t>
  </si>
  <si>
    <t xml:space="preserve">Total Cash </t>
  </si>
  <si>
    <t>Total Cash and Short-Term Investment</t>
  </si>
  <si>
    <t>PAGE 1</t>
  </si>
  <si>
    <t>CHANGES IN NET ASSET BALANCE</t>
  </si>
  <si>
    <t>Neal-Schuman Publishers, Inc., to refinance the Washington D.C. office series 2006 Bonds, refinance a term loan related to a commercial condo office in</t>
  </si>
  <si>
    <t>The original $10,100,000 loan is related to the following purchase of assets and has been allocated as follows:</t>
  </si>
  <si>
    <t>Post-Retirement Benefits</t>
  </si>
  <si>
    <t>PAGE 2</t>
  </si>
  <si>
    <t>PAGE 4</t>
  </si>
  <si>
    <t>PAGE 5</t>
  </si>
  <si>
    <t>Current assets consist of cash, short-term investment, receivables, inventories, as well as other assets that can be converted to cash within one year.</t>
  </si>
  <si>
    <t>Current liabilities consist of current portion of long-term debt, accounts payable and deferred revenue that are due within one operating cycle.</t>
  </si>
  <si>
    <t>Short-Term Investment (1)</t>
  </si>
  <si>
    <t>(1) Short-Term Investment includes working Capital at M/L, Huntington Money Market and Certificate of Deposit (PLA Legacy) and Industrial Securities.</t>
  </si>
  <si>
    <t>Cash to Debt ratio measures ALA's ability to pay all obligations from operations,</t>
  </si>
  <si>
    <t xml:space="preserve">Merrill Lynch </t>
  </si>
  <si>
    <t>Huntington (PLA)</t>
  </si>
  <si>
    <t>Industrial Securities</t>
  </si>
  <si>
    <t>Total</t>
  </si>
  <si>
    <t>TOTAL LOAN BALANCE</t>
  </si>
  <si>
    <t>October 19, 2020</t>
  </si>
  <si>
    <t>February 2020</t>
  </si>
  <si>
    <t>February 2019</t>
  </si>
  <si>
    <t>Endowment</t>
  </si>
  <si>
    <t>Long-Term Debts @CHASE</t>
  </si>
  <si>
    <t xml:space="preserve">   Total ALA Financial Position</t>
  </si>
  <si>
    <t xml:space="preserve">   Cash Management </t>
  </si>
  <si>
    <t xml:space="preserve">   Liquidity Ratio </t>
  </si>
  <si>
    <t xml:space="preserve">   Long-Term Debt </t>
  </si>
  <si>
    <t xml:space="preserve">   Grant Overhead Rate</t>
  </si>
  <si>
    <t xml:space="preserve">1. Total ALA Statement of Financial Position </t>
  </si>
  <si>
    <t>2. Cash Management</t>
  </si>
  <si>
    <t xml:space="preserve">3. Liquidity Ratio </t>
  </si>
  <si>
    <t>4. Long-Term Debt</t>
  </si>
  <si>
    <t>5. Grant Indirect Cost Rate</t>
  </si>
  <si>
    <t>CHASE FINANCING</t>
  </si>
  <si>
    <t xml:space="preserve">2020 - 2021 </t>
  </si>
  <si>
    <t xml:space="preserve">    EBD/BARC #3.11</t>
  </si>
  <si>
    <t>GENERAL FUND</t>
  </si>
  <si>
    <t>ROUND TABLE</t>
  </si>
  <si>
    <t>ENDOWMENT</t>
  </si>
  <si>
    <t>DIVISION</t>
  </si>
  <si>
    <t>GRANT</t>
  </si>
  <si>
    <t>TOTAL NAB</t>
  </si>
  <si>
    <t>SCHEDULE I</t>
  </si>
  <si>
    <t>-</t>
  </si>
  <si>
    <t>Working Capital</t>
  </si>
  <si>
    <t xml:space="preserve">   1B - Working Capital</t>
  </si>
  <si>
    <t>1B. Working Capital (current assets minus current liabilities) - measures whether ALA's current assets</t>
  </si>
  <si>
    <t xml:space="preserve">   2A - Total Cash and Short-Term Investment</t>
  </si>
  <si>
    <t xml:space="preserve">   2B - Long-Term Investment</t>
  </si>
  <si>
    <t xml:space="preserve">   2C - Line of Credit</t>
  </si>
  <si>
    <t xml:space="preserve">   2D - Chase Loan - Finance Furniture and IT Equipment</t>
  </si>
  <si>
    <t>August 2020</t>
  </si>
  <si>
    <t>Long-Term portion of Deferred Grants</t>
  </si>
  <si>
    <t xml:space="preserve">Total Long-Term Investment </t>
  </si>
  <si>
    <t>The Association maintains a $8,000,000 line of credit with JP Morgan Chase.</t>
  </si>
  <si>
    <t>February 20 - Office furniture</t>
  </si>
  <si>
    <t>June 2020 - Office furniture</t>
  </si>
  <si>
    <t>August 2020 - Networking/computer Equipment</t>
  </si>
  <si>
    <t>September 2020 - Networking/computer equipment</t>
  </si>
  <si>
    <t>The outstanding balance to date is $1,567,170.</t>
  </si>
  <si>
    <t xml:space="preserve">   1A - Changes in Net Asset Balance</t>
  </si>
  <si>
    <t>TOTAL</t>
  </si>
  <si>
    <t>FEBRUARY 2020</t>
  </si>
  <si>
    <t xml:space="preserve">The Association has worked with the U.S. Department of the Interior National Business Center to negotiate the </t>
  </si>
  <si>
    <t xml:space="preserve">indirect cost rate to be effective September 1, 2019 through August 31, 2022. </t>
  </si>
  <si>
    <t>The indirect cost rate was finalized in June 2020 at 23.08%.</t>
  </si>
  <si>
    <t>PAGE 3</t>
  </si>
  <si>
    <t>PAGE 6</t>
  </si>
  <si>
    <t>(See schedule 1 - By Fund) Page 6</t>
  </si>
  <si>
    <t xml:space="preserve">1A. Net Asset Balance - Difference between total assets and total liabilities. This is what we own. </t>
  </si>
  <si>
    <t>2A. Total Cash and Short-Term Investment</t>
  </si>
  <si>
    <t>2B. Long-Term Investment</t>
  </si>
  <si>
    <t>2C. Line of Credit</t>
  </si>
  <si>
    <t>The Association has obtained a loan from JP Morgan CHASE to finance the purchase of furniture and IT equipment for the new headquarter space at 225.</t>
  </si>
  <si>
    <t>April 2020 - office furniture</t>
  </si>
  <si>
    <t>May 2020 - Networking/Computer Equipment</t>
  </si>
  <si>
    <t>Long-Term CD (PLA Legacy Grant)</t>
  </si>
  <si>
    <t>Month/Year</t>
  </si>
  <si>
    <t>2D. CHASE Financing - Furniture and IT equipment</t>
  </si>
  <si>
    <t>FURNITURE AND IT EQUIPMENT FINANCING</t>
  </si>
  <si>
    <t>NON-CURRENT PORTION OF LONG-TERM DEBT</t>
  </si>
  <si>
    <r>
      <t xml:space="preserve">March 2020 - </t>
    </r>
    <r>
      <rPr>
        <i/>
        <sz val="12"/>
        <rFont val="Arial"/>
        <family val="2"/>
      </rPr>
      <t>IT equipment</t>
    </r>
  </si>
  <si>
    <t>Generally, a ratio of 1:1 is considered comfortable. A higher cash to debt ratio indicates a better liquidity position.</t>
  </si>
  <si>
    <t>The next and last payment is due on August 1, 2020 in the amount of $900,000.</t>
  </si>
  <si>
    <t>The Association has a $3,500,000 outstanding loan balance as of August 31, 2020.</t>
  </si>
  <si>
    <t xml:space="preserve">       that can be used in operations is adequate to meet current liabilities within one operating cycle.</t>
  </si>
  <si>
    <t>LONG-TERM LEASE OBLIGATION</t>
  </si>
  <si>
    <t>Lease obligation</t>
  </si>
  <si>
    <t>Furniture and IT financing @ 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</si>
</sst>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164" formatCode="0.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3"/>
      <name val="Arial"/>
      <family val="2"/>
    </font>
    <font>
      <sz val="16"/>
      <color theme="1"/>
      <name val="Arial"/>
      <family val="2"/>
    </font>
    <font>
      <b/>
      <sz val="12"/>
      <color theme="4"/>
      <name val="Arial"/>
      <family val="2"/>
    </font>
    <font>
      <sz val="14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theme="3"/>
      <name val="Arial"/>
      <family val="2"/>
    </font>
    <font>
      <b/>
      <sz val="20"/>
      <color theme="3"/>
      <name val="Calibri"/>
      <family val="2"/>
      <scheme val="minor"/>
    </font>
    <font>
      <b/>
      <sz val="20"/>
      <color rgb="FF0070C0"/>
      <name val="Arial"/>
      <family val="2"/>
    </font>
    <font>
      <b/>
      <sz val="14"/>
      <color theme="4"/>
      <name val="Arial"/>
      <family val="2"/>
    </font>
    <font>
      <b/>
      <sz val="14"/>
      <name val="Arial"/>
      <family val="2"/>
    </font>
    <font>
      <sz val="10"/>
      <color theme="3"/>
      <name val="Arial"/>
      <family val="2"/>
    </font>
    <font>
      <sz val="12"/>
      <color theme="3"/>
      <name val="Arial"/>
      <family val="2"/>
    </font>
    <font>
      <b/>
      <sz val="12"/>
      <color rgb="FF0070C0"/>
      <name val="Arial"/>
      <family val="2"/>
    </font>
    <font>
      <b/>
      <sz val="18"/>
      <color theme="3"/>
      <name val="Arial"/>
      <family val="2"/>
    </font>
    <font>
      <b/>
      <sz val="16"/>
      <color theme="1"/>
      <name val="Arial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b/>
      <sz val="14"/>
      <color theme="3"/>
      <name val="Arial"/>
      <family val="2"/>
    </font>
    <font>
      <b/>
      <sz val="14"/>
      <color rgb="FF002060"/>
      <name val="Arial"/>
      <family val="2"/>
    </font>
    <font>
      <b/>
      <sz val="14"/>
      <color theme="3" tint="-0.249977111117893"/>
      <name val="Arial"/>
      <family val="2"/>
    </font>
    <font>
      <i/>
      <sz val="12"/>
      <name val="Arial"/>
      <family val="2"/>
    </font>
    <font>
      <b/>
      <sz val="12"/>
      <color theme="3" tint="0.39997558519241921"/>
      <name val="Arial"/>
      <family val="2"/>
    </font>
    <font>
      <b/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8" fillId="0" borderId="0" xfId="0" applyFont="1"/>
    <xf numFmtId="0" fontId="4" fillId="0" borderId="0" xfId="0" applyFont="1" applyAlignment="1">
      <alignment horizontal="right"/>
    </xf>
    <xf numFmtId="0" fontId="10" fillId="0" borderId="0" xfId="0" applyFont="1"/>
    <xf numFmtId="0" fontId="9" fillId="0" borderId="2" xfId="0" applyFont="1" applyBorder="1"/>
    <xf numFmtId="0" fontId="9" fillId="0" borderId="3" xfId="0" applyFont="1" applyBorder="1"/>
    <xf numFmtId="0" fontId="12" fillId="0" borderId="0" xfId="0" applyFont="1"/>
    <xf numFmtId="0" fontId="13" fillId="0" borderId="0" xfId="0" applyFont="1"/>
    <xf numFmtId="15" fontId="13" fillId="0" borderId="0" xfId="0" quotePrefix="1" applyNumberFormat="1" applyFont="1" applyAlignment="1">
      <alignment horizontal="left"/>
    </xf>
    <xf numFmtId="0" fontId="14" fillId="0" borderId="0" xfId="0" applyFont="1"/>
    <xf numFmtId="0" fontId="15" fillId="0" borderId="0" xfId="0" applyFont="1"/>
    <xf numFmtId="0" fontId="10" fillId="0" borderId="0" xfId="0" applyFont="1" applyAlignment="1">
      <alignment horizontal="right"/>
    </xf>
    <xf numFmtId="0" fontId="16" fillId="0" borderId="0" xfId="0" applyFont="1"/>
    <xf numFmtId="0" fontId="5" fillId="0" borderId="0" xfId="0" applyFont="1"/>
    <xf numFmtId="0" fontId="7" fillId="0" borderId="0" xfId="0" applyFont="1"/>
    <xf numFmtId="0" fontId="15" fillId="0" borderId="0" xfId="0" applyFont="1" applyAlignment="1">
      <alignment horizontal="right"/>
    </xf>
    <xf numFmtId="0" fontId="15" fillId="2" borderId="2" xfId="0" applyFont="1" applyFill="1" applyBorder="1"/>
    <xf numFmtId="5" fontId="14" fillId="2" borderId="2" xfId="0" applyNumberFormat="1" applyFont="1" applyFill="1" applyBorder="1"/>
    <xf numFmtId="0" fontId="13" fillId="0" borderId="0" xfId="0" applyFont="1" applyAlignment="1">
      <alignment horizontal="center"/>
    </xf>
    <xf numFmtId="0" fontId="1" fillId="2" borderId="0" xfId="0" applyFont="1" applyFill="1"/>
    <xf numFmtId="0" fontId="10" fillId="2" borderId="0" xfId="0" applyFont="1" applyFill="1"/>
    <xf numFmtId="0" fontId="14" fillId="2" borderId="0" xfId="0" applyFont="1" applyFill="1"/>
    <xf numFmtId="37" fontId="14" fillId="2" borderId="0" xfId="0" applyNumberFormat="1" applyFont="1" applyFill="1"/>
    <xf numFmtId="37" fontId="14" fillId="0" borderId="2" xfId="0" applyNumberFormat="1" applyFont="1" applyBorder="1"/>
    <xf numFmtId="0" fontId="18" fillId="0" borderId="11" xfId="0" applyFont="1" applyBorder="1"/>
    <xf numFmtId="0" fontId="18" fillId="0" borderId="0" xfId="0" applyFont="1"/>
    <xf numFmtId="0" fontId="13" fillId="0" borderId="0" xfId="0" quotePrefix="1" applyFont="1"/>
    <xf numFmtId="0" fontId="13" fillId="2" borderId="0" xfId="0" applyFont="1" applyFill="1"/>
    <xf numFmtId="0" fontId="19" fillId="0" borderId="0" xfId="0" applyFont="1"/>
    <xf numFmtId="37" fontId="14" fillId="0" borderId="0" xfId="0" applyNumberFormat="1" applyFont="1"/>
    <xf numFmtId="0" fontId="15" fillId="3" borderId="5" xfId="0" applyFont="1" applyFill="1" applyBorder="1" applyAlignment="1">
      <alignment horizontal="center"/>
    </xf>
    <xf numFmtId="37" fontId="14" fillId="3" borderId="2" xfId="0" applyNumberFormat="1" applyFont="1" applyFill="1" applyBorder="1"/>
    <xf numFmtId="5" fontId="14" fillId="3" borderId="2" xfId="0" applyNumberFormat="1" applyFont="1" applyFill="1" applyBorder="1"/>
    <xf numFmtId="0" fontId="20" fillId="0" borderId="0" xfId="0" applyFont="1"/>
    <xf numFmtId="0" fontId="22" fillId="0" borderId="0" xfId="0" applyFont="1"/>
    <xf numFmtId="0" fontId="23" fillId="0" borderId="0" xfId="0" applyFont="1"/>
    <xf numFmtId="0" fontId="17" fillId="0" borderId="0" xfId="0" applyFont="1"/>
    <xf numFmtId="5" fontId="14" fillId="0" borderId="2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5" fontId="14" fillId="0" borderId="3" xfId="0" applyNumberFormat="1" applyFont="1" applyBorder="1" applyAlignment="1">
      <alignment horizontal="center"/>
    </xf>
    <xf numFmtId="0" fontId="11" fillId="0" borderId="4" xfId="0" applyFont="1" applyBorder="1"/>
    <xf numFmtId="37" fontId="14" fillId="0" borderId="4" xfId="0" applyNumberFormat="1" applyFont="1" applyBorder="1"/>
    <xf numFmtId="0" fontId="14" fillId="0" borderId="4" xfId="0" applyFont="1" applyBorder="1"/>
    <xf numFmtId="0" fontId="2" fillId="0" borderId="1" xfId="0" applyFont="1" applyBorder="1"/>
    <xf numFmtId="0" fontId="15" fillId="2" borderId="14" xfId="0" applyFont="1" applyFill="1" applyBorder="1" applyAlignment="1">
      <alignment horizontal="center"/>
    </xf>
    <xf numFmtId="15" fontId="15" fillId="2" borderId="3" xfId="0" quotePrefix="1" applyNumberFormat="1" applyFont="1" applyFill="1" applyBorder="1" applyAlignment="1">
      <alignment horizontal="center"/>
    </xf>
    <xf numFmtId="0" fontId="15" fillId="0" borderId="2" xfId="0" applyFont="1" applyBorder="1"/>
    <xf numFmtId="10" fontId="14" fillId="0" borderId="2" xfId="0" applyNumberFormat="1" applyFont="1" applyBorder="1"/>
    <xf numFmtId="37" fontId="14" fillId="2" borderId="2" xfId="0" applyNumberFormat="1" applyFont="1" applyFill="1" applyBorder="1"/>
    <xf numFmtId="0" fontId="9" fillId="3" borderId="2" xfId="0" applyFont="1" applyFill="1" applyBorder="1"/>
    <xf numFmtId="37" fontId="10" fillId="3" borderId="2" xfId="0" applyNumberFormat="1" applyFont="1" applyFill="1" applyBorder="1"/>
    <xf numFmtId="0" fontId="15" fillId="0" borderId="15" xfId="0" applyFont="1" applyBorder="1"/>
    <xf numFmtId="37" fontId="14" fillId="0" borderId="15" xfId="0" applyNumberFormat="1" applyFont="1" applyBorder="1"/>
    <xf numFmtId="37" fontId="14" fillId="0" borderId="3" xfId="0" applyNumberFormat="1" applyFont="1" applyBorder="1"/>
    <xf numFmtId="0" fontId="18" fillId="3" borderId="16" xfId="0" applyFont="1" applyFill="1" applyBorder="1"/>
    <xf numFmtId="37" fontId="15" fillId="3" borderId="16" xfId="0" applyNumberFormat="1" applyFont="1" applyFill="1" applyBorder="1"/>
    <xf numFmtId="10" fontId="15" fillId="3" borderId="16" xfId="0" applyNumberFormat="1" applyFont="1" applyFill="1" applyBorder="1"/>
    <xf numFmtId="37" fontId="15" fillId="0" borderId="1" xfId="0" applyNumberFormat="1" applyFont="1" applyBorder="1"/>
    <xf numFmtId="10" fontId="15" fillId="0" borderId="1" xfId="0" applyNumberFormat="1" applyFont="1" applyBorder="1"/>
    <xf numFmtId="0" fontId="18" fillId="3" borderId="2" xfId="0" applyFont="1" applyFill="1" applyBorder="1"/>
    <xf numFmtId="37" fontId="9" fillId="3" borderId="2" xfId="0" applyNumberFormat="1" applyFont="1" applyFill="1" applyBorder="1"/>
    <xf numFmtId="10" fontId="9" fillId="3" borderId="2" xfId="0" applyNumberFormat="1" applyFont="1" applyFill="1" applyBorder="1"/>
    <xf numFmtId="10" fontId="15" fillId="0" borderId="4" xfId="0" applyNumberFormat="1" applyFont="1" applyBorder="1"/>
    <xf numFmtId="37" fontId="15" fillId="0" borderId="4" xfId="0" applyNumberFormat="1" applyFont="1" applyBorder="1"/>
    <xf numFmtId="37" fontId="14" fillId="2" borderId="4" xfId="0" applyNumberFormat="1" applyFont="1" applyFill="1" applyBorder="1"/>
    <xf numFmtId="37" fontId="15" fillId="3" borderId="2" xfId="0" applyNumberFormat="1" applyFont="1" applyFill="1" applyBorder="1"/>
    <xf numFmtId="10" fontId="15" fillId="3" borderId="2" xfId="0" applyNumberFormat="1" applyFont="1" applyFill="1" applyBorder="1"/>
    <xf numFmtId="10" fontId="14" fillId="3" borderId="2" xfId="0" applyNumberFormat="1" applyFont="1" applyFill="1" applyBorder="1"/>
    <xf numFmtId="0" fontId="19" fillId="0" borderId="4" xfId="0" applyFont="1" applyBorder="1"/>
    <xf numFmtId="10" fontId="14" fillId="0" borderId="0" xfId="0" applyNumberFormat="1" applyFont="1"/>
    <xf numFmtId="0" fontId="14" fillId="2" borderId="4" xfId="0" applyFont="1" applyFill="1" applyBorder="1"/>
    <xf numFmtId="0" fontId="25" fillId="3" borderId="16" xfId="0" applyFont="1" applyFill="1" applyBorder="1"/>
    <xf numFmtId="0" fontId="16" fillId="0" borderId="7" xfId="0" applyFont="1" applyBorder="1"/>
    <xf numFmtId="0" fontId="15" fillId="0" borderId="6" xfId="0" applyFont="1" applyBorder="1"/>
    <xf numFmtId="0" fontId="16" fillId="0" borderId="8" xfId="0" applyFont="1" applyBorder="1"/>
    <xf numFmtId="2" fontId="15" fillId="0" borderId="9" xfId="0" applyNumberFormat="1" applyFont="1" applyBorder="1"/>
    <xf numFmtId="10" fontId="14" fillId="2" borderId="2" xfId="0" applyNumberFormat="1" applyFont="1" applyFill="1" applyBorder="1"/>
    <xf numFmtId="0" fontId="11" fillId="2" borderId="0" xfId="0" applyFont="1" applyFill="1"/>
    <xf numFmtId="0" fontId="2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11" xfId="0" applyFont="1" applyFill="1" applyBorder="1"/>
    <xf numFmtId="0" fontId="9" fillId="2" borderId="14" xfId="0" applyFont="1" applyFill="1" applyBorder="1" applyAlignment="1">
      <alignment horizontal="center"/>
    </xf>
    <xf numFmtId="0" fontId="9" fillId="2" borderId="5" xfId="0" applyFont="1" applyFill="1" applyBorder="1"/>
    <xf numFmtId="0" fontId="9" fillId="2" borderId="5" xfId="0" applyFont="1" applyFill="1" applyBorder="1" applyAlignment="1">
      <alignment horizontal="center"/>
    </xf>
    <xf numFmtId="0" fontId="14" fillId="2" borderId="13" xfId="0" applyFont="1" applyFill="1" applyBorder="1"/>
    <xf numFmtId="0" fontId="15" fillId="2" borderId="13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7" fontId="15" fillId="3" borderId="3" xfId="0" quotePrefix="1" applyNumberFormat="1" applyFont="1" applyFill="1" applyBorder="1" applyAlignment="1">
      <alignment horizontal="center"/>
    </xf>
    <xf numFmtId="0" fontId="15" fillId="2" borderId="5" xfId="0" applyFont="1" applyFill="1" applyBorder="1"/>
    <xf numFmtId="5" fontId="14" fillId="2" borderId="11" xfId="0" applyNumberFormat="1" applyFont="1" applyFill="1" applyBorder="1"/>
    <xf numFmtId="10" fontId="14" fillId="2" borderId="15" xfId="0" applyNumberFormat="1" applyFont="1" applyFill="1" applyBorder="1"/>
    <xf numFmtId="5" fontId="10" fillId="2" borderId="2" xfId="0" applyNumberFormat="1" applyFont="1" applyFill="1" applyBorder="1" applyAlignment="1">
      <alignment horizontal="right"/>
    </xf>
    <xf numFmtId="0" fontId="15" fillId="2" borderId="3" xfId="0" applyFont="1" applyFill="1" applyBorder="1"/>
    <xf numFmtId="5" fontId="15" fillId="2" borderId="13" xfId="0" applyNumberFormat="1" applyFont="1" applyFill="1" applyBorder="1"/>
    <xf numFmtId="10" fontId="15" fillId="2" borderId="3" xfId="0" applyNumberFormat="1" applyFont="1" applyFill="1" applyBorder="1"/>
    <xf numFmtId="6" fontId="15" fillId="2" borderId="3" xfId="0" applyNumberFormat="1" applyFont="1" applyFill="1" applyBorder="1"/>
    <xf numFmtId="6" fontId="15" fillId="3" borderId="3" xfId="0" applyNumberFormat="1" applyFont="1" applyFill="1" applyBorder="1"/>
    <xf numFmtId="6" fontId="15" fillId="2" borderId="0" xfId="0" applyNumberFormat="1" applyFont="1" applyFill="1" applyAlignment="1">
      <alignment horizontal="center"/>
    </xf>
    <xf numFmtId="6" fontId="15" fillId="2" borderId="0" xfId="0" applyNumberFormat="1" applyFont="1" applyFill="1"/>
    <xf numFmtId="2" fontId="15" fillId="2" borderId="0" xfId="0" applyNumberFormat="1" applyFont="1" applyFill="1"/>
    <xf numFmtId="37" fontId="10" fillId="0" borderId="0" xfId="0" applyNumberFormat="1" applyFont="1"/>
    <xf numFmtId="10" fontId="10" fillId="0" borderId="0" xfId="0" applyNumberFormat="1" applyFont="1"/>
    <xf numFmtId="2" fontId="15" fillId="2" borderId="16" xfId="0" applyNumberFormat="1" applyFont="1" applyFill="1" applyBorder="1"/>
    <xf numFmtId="2" fontId="15" fillId="2" borderId="17" xfId="0" applyNumberFormat="1" applyFont="1" applyFill="1" applyBorder="1"/>
    <xf numFmtId="2" fontId="15" fillId="0" borderId="0" xfId="0" applyNumberFormat="1" applyFont="1"/>
    <xf numFmtId="0" fontId="26" fillId="0" borderId="0" xfId="0" applyFont="1"/>
    <xf numFmtId="0" fontId="27" fillId="0" borderId="0" xfId="0" applyFont="1"/>
    <xf numFmtId="37" fontId="28" fillId="0" borderId="0" xfId="0" applyNumberFormat="1" applyFont="1"/>
    <xf numFmtId="37" fontId="10" fillId="0" borderId="2" xfId="0" applyNumberFormat="1" applyFont="1" applyBorder="1"/>
    <xf numFmtId="37" fontId="3" fillId="0" borderId="0" xfId="0" applyNumberFormat="1" applyFont="1"/>
    <xf numFmtId="0" fontId="16" fillId="0" borderId="0" xfId="0" applyFont="1" applyBorder="1"/>
    <xf numFmtId="2" fontId="15" fillId="2" borderId="0" xfId="0" applyNumberFormat="1" applyFont="1" applyFill="1" applyBorder="1"/>
    <xf numFmtId="2" fontId="15" fillId="0" borderId="0" xfId="0" applyNumberFormat="1" applyFont="1" applyBorder="1"/>
    <xf numFmtId="0" fontId="14" fillId="2" borderId="0" xfId="0" quotePrefix="1" applyFont="1" applyFill="1"/>
    <xf numFmtId="0" fontId="30" fillId="0" borderId="0" xfId="0" applyFont="1"/>
    <xf numFmtId="0" fontId="14" fillId="0" borderId="0" xfId="0" applyFont="1" applyBorder="1"/>
    <xf numFmtId="17" fontId="15" fillId="0" borderId="28" xfId="0" quotePrefix="1" applyNumberFormat="1" applyFont="1" applyBorder="1"/>
    <xf numFmtId="0" fontId="14" fillId="2" borderId="25" xfId="0" applyFont="1" applyFill="1" applyBorder="1"/>
    <xf numFmtId="4" fontId="14" fillId="2" borderId="16" xfId="0" applyNumberFormat="1" applyFont="1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3" xfId="0" quotePrefix="1" applyFont="1" applyBorder="1"/>
    <xf numFmtId="4" fontId="14" fillId="0" borderId="24" xfId="0" applyNumberFormat="1" applyFont="1" applyBorder="1"/>
    <xf numFmtId="0" fontId="14" fillId="0" borderId="25" xfId="0" quotePrefix="1" applyFont="1" applyBorder="1"/>
    <xf numFmtId="4" fontId="14" fillId="0" borderId="29" xfId="0" applyNumberFormat="1" applyFont="1" applyBorder="1"/>
    <xf numFmtId="0" fontId="16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30" xfId="0" applyFont="1" applyBorder="1"/>
    <xf numFmtId="164" fontId="14" fillId="0" borderId="24" xfId="0" applyNumberFormat="1" applyFont="1" applyBorder="1"/>
    <xf numFmtId="0" fontId="9" fillId="0" borderId="31" xfId="0" applyFont="1" applyBorder="1"/>
    <xf numFmtId="0" fontId="9" fillId="0" borderId="32" xfId="0" applyFont="1" applyBorder="1"/>
    <xf numFmtId="164" fontId="14" fillId="0" borderId="29" xfId="0" applyNumberFormat="1" applyFont="1" applyBorder="1"/>
    <xf numFmtId="0" fontId="25" fillId="2" borderId="0" xfId="0" applyFont="1" applyFill="1" applyBorder="1"/>
    <xf numFmtId="37" fontId="15" fillId="2" borderId="0" xfId="0" applyNumberFormat="1" applyFont="1" applyFill="1" applyBorder="1"/>
    <xf numFmtId="10" fontId="15" fillId="2" borderId="0" xfId="0" applyNumberFormat="1" applyFont="1" applyFill="1" applyBorder="1"/>
    <xf numFmtId="37" fontId="14" fillId="2" borderId="0" xfId="0" applyNumberFormat="1" applyFont="1" applyFill="1" applyBorder="1" applyAlignment="1">
      <alignment horizontal="right"/>
    </xf>
    <xf numFmtId="37" fontId="3" fillId="0" borderId="0" xfId="0" applyNumberFormat="1" applyFont="1" applyBorder="1"/>
    <xf numFmtId="37" fontId="15" fillId="2" borderId="12" xfId="0" applyNumberFormat="1" applyFont="1" applyFill="1" applyBorder="1"/>
    <xf numFmtId="37" fontId="14" fillId="0" borderId="25" xfId="0" applyNumberFormat="1" applyFont="1" applyBorder="1" applyAlignment="1">
      <alignment horizontal="right"/>
    </xf>
    <xf numFmtId="37" fontId="14" fillId="0" borderId="16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2" borderId="0" xfId="0" applyFont="1" applyFill="1" applyAlignment="1">
      <alignment horizontal="right"/>
    </xf>
    <xf numFmtId="0" fontId="13" fillId="0" borderId="0" xfId="0" quotePrefix="1" applyFont="1" applyBorder="1"/>
    <xf numFmtId="0" fontId="17" fillId="0" borderId="0" xfId="0" applyFont="1" applyAlignment="1">
      <alignment vertical="center"/>
    </xf>
    <xf numFmtId="0" fontId="13" fillId="0" borderId="0" xfId="0" applyFont="1" applyAlignment="1">
      <alignment vertical="top"/>
    </xf>
    <xf numFmtId="16" fontId="13" fillId="0" borderId="0" xfId="0" quotePrefix="1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16" fontId="2" fillId="2" borderId="0" xfId="0" quotePrefix="1" applyNumberFormat="1" applyFont="1" applyFill="1"/>
    <xf numFmtId="0" fontId="13" fillId="2" borderId="0" xfId="0" quotePrefix="1" applyFont="1" applyFill="1"/>
    <xf numFmtId="0" fontId="15" fillId="2" borderId="0" xfId="0" applyFont="1" applyFill="1" applyBorder="1"/>
    <xf numFmtId="37" fontId="14" fillId="2" borderId="0" xfId="0" applyNumberFormat="1" applyFont="1" applyFill="1" applyBorder="1"/>
    <xf numFmtId="0" fontId="2" fillId="2" borderId="0" xfId="0" applyFont="1" applyFill="1" applyBorder="1"/>
    <xf numFmtId="0" fontId="9" fillId="2" borderId="0" xfId="0" applyFont="1" applyFill="1" applyBorder="1"/>
    <xf numFmtId="37" fontId="10" fillId="2" borderId="0" xfId="0" applyNumberFormat="1" applyFont="1" applyFill="1" applyBorder="1"/>
    <xf numFmtId="0" fontId="8" fillId="2" borderId="0" xfId="0" applyFont="1" applyFill="1" applyBorder="1" applyAlignment="1">
      <alignment horizontal="right"/>
    </xf>
    <xf numFmtId="0" fontId="3" fillId="2" borderId="0" xfId="0" applyFont="1" applyFill="1"/>
    <xf numFmtId="0" fontId="9" fillId="0" borderId="0" xfId="0" applyFont="1" applyBorder="1"/>
    <xf numFmtId="37" fontId="14" fillId="0" borderId="0" xfId="0" applyNumberFormat="1" applyFont="1" applyBorder="1" applyAlignment="1">
      <alignment horizontal="right"/>
    </xf>
    <xf numFmtId="164" fontId="14" fillId="0" borderId="0" xfId="0" applyNumberFormat="1" applyFont="1" applyBorder="1"/>
    <xf numFmtId="5" fontId="15" fillId="2" borderId="0" xfId="0" applyNumberFormat="1" applyFont="1" applyFill="1" applyBorder="1"/>
    <xf numFmtId="6" fontId="15" fillId="2" borderId="0" xfId="0" applyNumberFormat="1" applyFont="1" applyFill="1" applyBorder="1"/>
    <xf numFmtId="15" fontId="15" fillId="2" borderId="33" xfId="0" quotePrefix="1" applyNumberFormat="1" applyFont="1" applyFill="1" applyBorder="1" applyAlignment="1">
      <alignment horizontal="center"/>
    </xf>
    <xf numFmtId="37" fontId="14" fillId="0" borderId="31" xfId="0" applyNumberFormat="1" applyFont="1" applyBorder="1"/>
    <xf numFmtId="5" fontId="14" fillId="0" borderId="34" xfId="0" applyNumberFormat="1" applyFont="1" applyBorder="1"/>
    <xf numFmtId="5" fontId="14" fillId="0" borderId="36" xfId="0" applyNumberFormat="1" applyFont="1" applyBorder="1"/>
    <xf numFmtId="5" fontId="14" fillId="0" borderId="31" xfId="0" applyNumberFormat="1" applyFont="1" applyBorder="1"/>
    <xf numFmtId="0" fontId="14" fillId="0" borderId="31" xfId="0" applyFont="1" applyBorder="1"/>
    <xf numFmtId="5" fontId="14" fillId="0" borderId="35" xfId="0" applyNumberFormat="1" applyFont="1" applyBorder="1" applyAlignment="1">
      <alignment horizontal="right"/>
    </xf>
    <xf numFmtId="37" fontId="14" fillId="2" borderId="0" xfId="0" applyNumberFormat="1" applyFont="1" applyFill="1" applyBorder="1" applyAlignment="1">
      <alignment horizontal="center"/>
    </xf>
    <xf numFmtId="37" fontId="1" fillId="0" borderId="37" xfId="0" applyNumberFormat="1" applyFont="1" applyBorder="1"/>
    <xf numFmtId="0" fontId="8" fillId="2" borderId="14" xfId="0" applyFont="1" applyFill="1" applyBorder="1" applyAlignment="1">
      <alignment horizontal="center"/>
    </xf>
    <xf numFmtId="5" fontId="14" fillId="2" borderId="10" xfId="0" applyNumberFormat="1" applyFont="1" applyFill="1" applyBorder="1" applyAlignment="1">
      <alignment horizontal="center"/>
    </xf>
    <xf numFmtId="0" fontId="15" fillId="2" borderId="22" xfId="0" applyFont="1" applyFill="1" applyBorder="1"/>
    <xf numFmtId="0" fontId="6" fillId="0" borderId="0" xfId="0" quotePrefix="1" applyFont="1" applyBorder="1"/>
    <xf numFmtId="37" fontId="28" fillId="0" borderId="0" xfId="0" applyNumberFormat="1" applyFont="1" applyBorder="1" applyAlignment="1">
      <alignment horizontal="right"/>
    </xf>
    <xf numFmtId="37" fontId="28" fillId="2" borderId="0" xfId="0" applyNumberFormat="1" applyFont="1" applyFill="1" applyBorder="1" applyAlignment="1">
      <alignment horizontal="center"/>
    </xf>
    <xf numFmtId="164" fontId="28" fillId="0" borderId="0" xfId="0" applyNumberFormat="1" applyFont="1" applyBorder="1"/>
    <xf numFmtId="37" fontId="32" fillId="0" borderId="0" xfId="0" applyNumberFormat="1" applyFont="1"/>
    <xf numFmtId="0" fontId="32" fillId="0" borderId="0" xfId="0" applyFont="1"/>
    <xf numFmtId="0" fontId="33" fillId="0" borderId="0" xfId="0" applyFont="1"/>
    <xf numFmtId="0" fontId="8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5" fillId="2" borderId="38" xfId="0" applyFont="1" applyFill="1" applyBorder="1" applyAlignment="1">
      <alignment horizontal="center"/>
    </xf>
    <xf numFmtId="37" fontId="14" fillId="2" borderId="11" xfId="0" quotePrefix="1" applyNumberFormat="1" applyFont="1" applyFill="1" applyBorder="1"/>
    <xf numFmtId="37" fontId="14" fillId="2" borderId="2" xfId="0" quotePrefix="1" applyNumberFormat="1" applyFont="1" applyFill="1" applyBorder="1"/>
    <xf numFmtId="37" fontId="14" fillId="2" borderId="3" xfId="0" quotePrefix="1" applyNumberFormat="1" applyFont="1" applyFill="1" applyBorder="1"/>
    <xf numFmtId="37" fontId="15" fillId="2" borderId="39" xfId="0" applyNumberFormat="1" applyFont="1" applyFill="1" applyBorder="1" applyAlignment="1">
      <alignment horizontal="center"/>
    </xf>
    <xf numFmtId="17" fontId="14" fillId="2" borderId="19" xfId="0" quotePrefix="1" applyNumberFormat="1" applyFont="1" applyFill="1" applyBorder="1"/>
    <xf numFmtId="17" fontId="14" fillId="2" borderId="23" xfId="0" quotePrefix="1" applyNumberFormat="1" applyFont="1" applyFill="1" applyBorder="1"/>
    <xf numFmtId="0" fontId="14" fillId="2" borderId="40" xfId="0" quotePrefix="1" applyFont="1" applyFill="1" applyBorder="1"/>
    <xf numFmtId="17" fontId="14" fillId="0" borderId="23" xfId="0" quotePrefix="1" applyNumberFormat="1" applyFont="1" applyBorder="1"/>
    <xf numFmtId="37" fontId="14" fillId="0" borderId="24" xfId="0" applyNumberFormat="1" applyFont="1" applyBorder="1"/>
    <xf numFmtId="17" fontId="14" fillId="0" borderId="25" xfId="0" quotePrefix="1" applyNumberFormat="1" applyFont="1" applyBorder="1"/>
    <xf numFmtId="37" fontId="14" fillId="0" borderId="16" xfId="0" applyNumberFormat="1" applyFont="1" applyBorder="1"/>
    <xf numFmtId="37" fontId="14" fillId="2" borderId="16" xfId="0" quotePrefix="1" applyNumberFormat="1" applyFont="1" applyFill="1" applyBorder="1"/>
    <xf numFmtId="37" fontId="0" fillId="0" borderId="0" xfId="0" applyNumberFormat="1"/>
    <xf numFmtId="37" fontId="14" fillId="2" borderId="5" xfId="0" quotePrefix="1" applyNumberFormat="1" applyFont="1" applyFill="1" applyBorder="1"/>
    <xf numFmtId="0" fontId="14" fillId="0" borderId="37" xfId="0" applyFont="1" applyBorder="1"/>
    <xf numFmtId="17" fontId="14" fillId="0" borderId="28" xfId="0" quotePrefix="1" applyNumberFormat="1" applyFont="1" applyBorder="1"/>
    <xf numFmtId="0" fontId="14" fillId="0" borderId="42" xfId="0" applyFont="1" applyBorder="1"/>
    <xf numFmtId="37" fontId="14" fillId="0" borderId="29" xfId="0" quotePrefix="1" applyNumberFormat="1" applyFont="1" applyBorder="1" applyAlignment="1">
      <alignment horizontal="center"/>
    </xf>
    <xf numFmtId="37" fontId="14" fillId="2" borderId="20" xfId="0" quotePrefix="1" applyNumberFormat="1" applyFont="1" applyFill="1" applyBorder="1"/>
    <xf numFmtId="0" fontId="14" fillId="2" borderId="0" xfId="0" applyFont="1" applyFill="1" applyBorder="1"/>
    <xf numFmtId="17" fontId="13" fillId="2" borderId="23" xfId="0" quotePrefix="1" applyNumberFormat="1" applyFont="1" applyFill="1" applyBorder="1"/>
    <xf numFmtId="37" fontId="14" fillId="2" borderId="24" xfId="0" applyNumberFormat="1" applyFont="1" applyFill="1" applyBorder="1"/>
    <xf numFmtId="0" fontId="13" fillId="2" borderId="23" xfId="0" quotePrefix="1" applyFont="1" applyFill="1" applyBorder="1"/>
    <xf numFmtId="0" fontId="13" fillId="2" borderId="25" xfId="0" quotePrefix="1" applyFont="1" applyFill="1" applyBorder="1"/>
    <xf numFmtId="37" fontId="14" fillId="2" borderId="15" xfId="0" applyNumberFormat="1" applyFont="1" applyFill="1" applyBorder="1"/>
    <xf numFmtId="37" fontId="14" fillId="2" borderId="18" xfId="0" applyNumberFormat="1" applyFont="1" applyFill="1" applyBorder="1" applyAlignment="1">
      <alignment horizontal="right"/>
    </xf>
    <xf numFmtId="37" fontId="14" fillId="2" borderId="16" xfId="0" applyNumberFormat="1" applyFont="1" applyFill="1" applyBorder="1"/>
    <xf numFmtId="37" fontId="14" fillId="2" borderId="29" xfId="0" quotePrefix="1" applyNumberFormat="1" applyFont="1" applyFill="1" applyBorder="1" applyAlignment="1">
      <alignment horizontal="center"/>
    </xf>
    <xf numFmtId="0" fontId="1" fillId="0" borderId="28" xfId="0" quotePrefix="1" applyFont="1" applyBorder="1"/>
    <xf numFmtId="17" fontId="1" fillId="0" borderId="2" xfId="0" quotePrefix="1" applyNumberFormat="1" applyFont="1" applyBorder="1"/>
    <xf numFmtId="17" fontId="1" fillId="0" borderId="23" xfId="0" quotePrefix="1" applyNumberFormat="1" applyFont="1" applyBorder="1"/>
    <xf numFmtId="0" fontId="1" fillId="0" borderId="25" xfId="0" quotePrefix="1" applyFont="1" applyBorder="1"/>
    <xf numFmtId="37" fontId="1" fillId="2" borderId="2" xfId="0" applyNumberFormat="1" applyFont="1" applyFill="1" applyBorder="1"/>
    <xf numFmtId="37" fontId="1" fillId="2" borderId="24" xfId="0" applyNumberFormat="1" applyFont="1" applyFill="1" applyBorder="1"/>
    <xf numFmtId="37" fontId="1" fillId="2" borderId="29" xfId="0" applyNumberFormat="1" applyFont="1" applyFill="1" applyBorder="1"/>
    <xf numFmtId="0" fontId="34" fillId="0" borderId="0" xfId="0" applyFont="1"/>
    <xf numFmtId="0" fontId="34" fillId="2" borderId="0" xfId="0" applyFont="1" applyFill="1"/>
    <xf numFmtId="37" fontId="8" fillId="2" borderId="0" xfId="0" applyNumberFormat="1" applyFont="1" applyFill="1" applyBorder="1"/>
    <xf numFmtId="10" fontId="8" fillId="2" borderId="0" xfId="0" applyNumberFormat="1" applyFont="1" applyFill="1" applyBorder="1"/>
    <xf numFmtId="0" fontId="35" fillId="0" borderId="0" xfId="0" applyFont="1"/>
    <xf numFmtId="0" fontId="36" fillId="2" borderId="0" xfId="0" applyFont="1" applyFill="1"/>
    <xf numFmtId="0" fontId="36" fillId="0" borderId="41" xfId="0" applyFont="1" applyBorder="1"/>
    <xf numFmtId="0" fontId="9" fillId="2" borderId="2" xfId="0" applyFont="1" applyFill="1" applyBorder="1"/>
    <xf numFmtId="37" fontId="10" fillId="2" borderId="2" xfId="0" applyNumberFormat="1" applyFont="1" applyFill="1" applyBorder="1"/>
    <xf numFmtId="37" fontId="31" fillId="0" borderId="43" xfId="0" applyNumberFormat="1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17" fontId="13" fillId="0" borderId="44" xfId="0" quotePrefix="1" applyNumberFormat="1" applyFont="1" applyBorder="1"/>
    <xf numFmtId="0" fontId="13" fillId="2" borderId="45" xfId="0" quotePrefix="1" applyFont="1" applyFill="1" applyBorder="1"/>
    <xf numFmtId="17" fontId="13" fillId="0" borderId="46" xfId="0" quotePrefix="1" applyNumberFormat="1" applyFont="1" applyBorder="1"/>
    <xf numFmtId="0" fontId="13" fillId="0" borderId="47" xfId="0" quotePrefix="1" applyFont="1" applyBorder="1"/>
    <xf numFmtId="37" fontId="8" fillId="2" borderId="22" xfId="0" applyNumberFormat="1" applyFont="1" applyFill="1" applyBorder="1" applyAlignment="1">
      <alignment horizontal="center"/>
    </xf>
    <xf numFmtId="37" fontId="14" fillId="0" borderId="6" xfId="0" applyNumberFormat="1" applyFont="1" applyBorder="1" applyAlignment="1">
      <alignment horizontal="right"/>
    </xf>
    <xf numFmtId="37" fontId="14" fillId="0" borderId="37" xfId="0" applyNumberFormat="1" applyFont="1" applyBorder="1"/>
    <xf numFmtId="37" fontId="14" fillId="0" borderId="20" xfId="0" applyNumberFormat="1" applyFont="1" applyBorder="1"/>
    <xf numFmtId="37" fontId="14" fillId="0" borderId="29" xfId="0" applyNumberFormat="1" applyFont="1" applyBorder="1"/>
    <xf numFmtId="0" fontId="16" fillId="0" borderId="44" xfId="0" applyFont="1" applyBorder="1"/>
    <xf numFmtId="37" fontId="15" fillId="2" borderId="41" xfId="0" applyNumberFormat="1" applyFont="1" applyFill="1" applyBorder="1" applyAlignment="1">
      <alignment horizontal="right"/>
    </xf>
    <xf numFmtId="37" fontId="15" fillId="2" borderId="45" xfId="0" applyNumberFormat="1" applyFont="1" applyFill="1" applyBorder="1"/>
    <xf numFmtId="37" fontId="15" fillId="2" borderId="46" xfId="0" applyNumberFormat="1" applyFont="1" applyFill="1" applyBorder="1"/>
    <xf numFmtId="37" fontId="15" fillId="2" borderId="47" xfId="0" applyNumberFormat="1" applyFont="1" applyFill="1" applyBorder="1"/>
    <xf numFmtId="17" fontId="16" fillId="4" borderId="33" xfId="0" quotePrefix="1" applyNumberFormat="1" applyFont="1" applyFill="1" applyBorder="1"/>
    <xf numFmtId="37" fontId="31" fillId="4" borderId="27" xfId="0" applyNumberFormat="1" applyFont="1" applyFill="1" applyBorder="1" applyAlignment="1"/>
    <xf numFmtId="37" fontId="8" fillId="0" borderId="48" xfId="0" applyNumberFormat="1" applyFont="1" applyBorder="1"/>
    <xf numFmtId="0" fontId="10" fillId="2" borderId="2" xfId="0" applyFont="1" applyFill="1" applyBorder="1"/>
    <xf numFmtId="0" fontId="10" fillId="0" borderId="2" xfId="0" applyFont="1" applyBorder="1"/>
    <xf numFmtId="5" fontId="15" fillId="0" borderId="31" xfId="0" applyNumberFormat="1" applyFont="1" applyBorder="1" applyAlignment="1">
      <alignment horizontal="right"/>
    </xf>
    <xf numFmtId="5" fontId="15" fillId="3" borderId="32" xfId="0" applyNumberFormat="1" applyFont="1" applyFill="1" applyBorder="1" applyAlignment="1">
      <alignment horizontal="right"/>
    </xf>
    <xf numFmtId="5" fontId="15" fillId="3" borderId="31" xfId="0" applyNumberFormat="1" applyFont="1" applyFill="1" applyBorder="1" applyAlignment="1">
      <alignment horizontal="right"/>
    </xf>
    <xf numFmtId="2" fontId="15" fillId="3" borderId="31" xfId="0" applyNumberFormat="1" applyFont="1" applyFill="1" applyBorder="1" applyAlignment="1">
      <alignment horizontal="right"/>
    </xf>
    <xf numFmtId="37" fontId="14" fillId="0" borderId="0" xfId="0" applyNumberFormat="1" applyFont="1" applyAlignment="1">
      <alignment horizontal="right"/>
    </xf>
    <xf numFmtId="0" fontId="38" fillId="0" borderId="0" xfId="0" applyFont="1"/>
    <xf numFmtId="17" fontId="13" fillId="2" borderId="19" xfId="0" quotePrefix="1" applyNumberFormat="1" applyFont="1" applyFill="1" applyBorder="1"/>
    <xf numFmtId="0" fontId="26" fillId="2" borderId="28" xfId="0" applyFont="1" applyFill="1" applyBorder="1"/>
    <xf numFmtId="0" fontId="26" fillId="2" borderId="23" xfId="0" applyFont="1" applyFill="1" applyBorder="1"/>
    <xf numFmtId="37" fontId="15" fillId="0" borderId="16" xfId="0" applyNumberFormat="1" applyFont="1" applyBorder="1"/>
    <xf numFmtId="37" fontId="15" fillId="0" borderId="15" xfId="0" applyNumberFormat="1" applyFont="1" applyBorder="1"/>
    <xf numFmtId="37" fontId="14" fillId="0" borderId="18" xfId="0" applyNumberFormat="1" applyFont="1" applyBorder="1"/>
    <xf numFmtId="37" fontId="15" fillId="3" borderId="17" xfId="0" applyNumberFormat="1" applyFont="1" applyFill="1" applyBorder="1"/>
    <xf numFmtId="0" fontId="8" fillId="0" borderId="25" xfId="0" applyFont="1" applyBorder="1"/>
    <xf numFmtId="5" fontId="14" fillId="2" borderId="36" xfId="0" applyNumberFormat="1" applyFont="1" applyFill="1" applyBorder="1"/>
    <xf numFmtId="0" fontId="29" fillId="0" borderId="43" xfId="0" applyFont="1" applyBorder="1"/>
    <xf numFmtId="0" fontId="14" fillId="0" borderId="41" xfId="0" applyFont="1" applyBorder="1"/>
    <xf numFmtId="0" fontId="15" fillId="0" borderId="42" xfId="0" applyFont="1" applyBorder="1"/>
    <xf numFmtId="0" fontId="15" fillId="2" borderId="42" xfId="0" applyFont="1" applyFill="1" applyBorder="1"/>
    <xf numFmtId="0" fontId="14" fillId="0" borderId="44" xfId="0" applyFont="1" applyBorder="1"/>
    <xf numFmtId="0" fontId="39" fillId="0" borderId="0" xfId="0" applyFont="1"/>
    <xf numFmtId="2" fontId="34" fillId="2" borderId="0" xfId="0" applyNumberFormat="1" applyFont="1" applyFill="1" applyBorder="1"/>
    <xf numFmtId="17" fontId="15" fillId="5" borderId="37" xfId="0" quotePrefix="1" applyNumberFormat="1" applyFont="1" applyFill="1" applyBorder="1" applyAlignment="1">
      <alignment horizontal="center"/>
    </xf>
    <xf numFmtId="37" fontId="14" fillId="5" borderId="21" xfId="0" applyNumberFormat="1" applyFont="1" applyFill="1" applyBorder="1"/>
    <xf numFmtId="37" fontId="14" fillId="5" borderId="24" xfId="0" applyNumberFormat="1" applyFont="1" applyFill="1" applyBorder="1"/>
    <xf numFmtId="37" fontId="15" fillId="5" borderId="29" xfId="0" applyNumberFormat="1" applyFont="1" applyFill="1" applyBorder="1"/>
    <xf numFmtId="15" fontId="8" fillId="2" borderId="2" xfId="0" quotePrefix="1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37" fontId="14" fillId="2" borderId="5" xfId="0" applyNumberFormat="1" applyFont="1" applyFill="1" applyBorder="1"/>
    <xf numFmtId="37" fontId="15" fillId="2" borderId="14" xfId="0" applyNumberFormat="1" applyFont="1" applyFill="1" applyBorder="1" applyAlignment="1">
      <alignment horizontal="center"/>
    </xf>
    <xf numFmtId="37" fontId="15" fillId="2" borderId="5" xfId="0" applyNumberFormat="1" applyFont="1" applyFill="1" applyBorder="1" applyAlignment="1">
      <alignment horizontal="center"/>
    </xf>
    <xf numFmtId="15" fontId="8" fillId="2" borderId="3" xfId="0" quotePrefix="1" applyNumberFormat="1" applyFont="1" applyFill="1" applyBorder="1" applyAlignment="1">
      <alignment horizontal="center"/>
    </xf>
    <xf numFmtId="0" fontId="15" fillId="2" borderId="15" xfId="0" applyFont="1" applyFill="1" applyBorder="1"/>
    <xf numFmtId="0" fontId="15" fillId="2" borderId="15" xfId="0" applyFont="1" applyFill="1" applyBorder="1" applyAlignment="1">
      <alignment horizontal="center"/>
    </xf>
    <xf numFmtId="37" fontId="15" fillId="2" borderId="0" xfId="0" applyNumberFormat="1" applyFont="1" applyFill="1" applyAlignment="1">
      <alignment horizontal="center"/>
    </xf>
    <xf numFmtId="37" fontId="15" fillId="2" borderId="27" xfId="0" applyNumberFormat="1" applyFont="1" applyFill="1" applyBorder="1"/>
    <xf numFmtId="15" fontId="8" fillId="2" borderId="20" xfId="0" quotePrefix="1" applyNumberFormat="1" applyFont="1" applyFill="1" applyBorder="1" applyAlignment="1">
      <alignment horizontal="center"/>
    </xf>
    <xf numFmtId="15" fontId="8" fillId="2" borderId="21" xfId="0" quotePrefix="1" applyNumberFormat="1" applyFont="1" applyFill="1" applyBorder="1" applyAlignment="1">
      <alignment horizontal="center"/>
    </xf>
    <xf numFmtId="0" fontId="8" fillId="2" borderId="22" xfId="0" applyFont="1" applyFill="1" applyBorder="1"/>
    <xf numFmtId="0" fontId="8" fillId="2" borderId="26" xfId="0" applyFont="1" applyFill="1" applyBorder="1" applyAlignment="1">
      <alignment horizontal="center"/>
    </xf>
    <xf numFmtId="15" fontId="15" fillId="2" borderId="7" xfId="0" quotePrefix="1" applyNumberFormat="1" applyFont="1" applyFill="1" applyBorder="1" applyAlignment="1">
      <alignment horizontal="center"/>
    </xf>
    <xf numFmtId="15" fontId="15" fillId="2" borderId="6" xfId="0" quotePrefix="1" applyNumberFormat="1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37" fontId="14" fillId="2" borderId="2" xfId="0" applyNumberFormat="1" applyFont="1" applyFill="1" applyBorder="1" applyAlignment="1">
      <alignment horizontal="right"/>
    </xf>
    <xf numFmtId="37" fontId="14" fillId="2" borderId="16" xfId="0" applyNumberFormat="1" applyFont="1" applyFill="1" applyBorder="1" applyAlignment="1">
      <alignment horizontal="right"/>
    </xf>
    <xf numFmtId="37" fontId="15" fillId="2" borderId="7" xfId="0" quotePrefix="1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1938020</xdr:colOff>
      <xdr:row>25</xdr:row>
      <xdr:rowOff>0</xdr:rowOff>
    </xdr:from>
    <xdr:to>
      <xdr:col>2</xdr:col>
      <xdr:colOff>1236980</xdr:colOff>
      <xdr:row>27</xdr:row>
      <xdr:rowOff>91440</xdr:rowOff>
    </xdr:to>
    <xdr:pic>
      <xdr:nvPicPr>
        <xdr:cNvPr id="2" name="Picture 1" descr="Libraries-Transform-Logo-Final-TM-ALA-Color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2420" y="6591300"/>
          <a:ext cx="2016760" cy="4470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1988820</xdr:colOff>
      <xdr:row>16</xdr:row>
      <xdr:rowOff>91440</xdr:rowOff>
    </xdr:from>
    <xdr:to>
      <xdr:col>0</xdr:col>
      <xdr:colOff>2171700</xdr:colOff>
      <xdr:row>16</xdr:row>
      <xdr:rowOff>183520</xdr:rowOff>
    </xdr:to>
    <xdr:sp macro="" textlink="">
      <xdr:nvSpPr>
        <xdr:cNvPr id="5" name="Chevro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988820" y="3390900"/>
          <a:ext cx="182880" cy="92080"/>
        </a:xfrm>
        <a:prstGeom prst="chevr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1874520</xdr:colOff>
      <xdr:row>25</xdr:row>
      <xdr:rowOff>0</xdr:rowOff>
    </xdr:from>
    <xdr:to>
      <xdr:col>2</xdr:col>
      <xdr:colOff>1173480</xdr:colOff>
      <xdr:row>27</xdr:row>
      <xdr:rowOff>91440</xdr:rowOff>
    </xdr:to>
    <xdr:pic>
      <xdr:nvPicPr>
        <xdr:cNvPr id="19" name="Picture 18" descr="Libraries-Transform-Logo-Final-TM-ALA-Colors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3840" y="6865620"/>
          <a:ext cx="20193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1988820</xdr:colOff>
      <xdr:row>16</xdr:row>
      <xdr:rowOff>68580</xdr:rowOff>
    </xdr:from>
    <xdr:to>
      <xdr:col>0</xdr:col>
      <xdr:colOff>2171700</xdr:colOff>
      <xdr:row>16</xdr:row>
      <xdr:rowOff>160660</xdr:rowOff>
    </xdr:to>
    <xdr:sp macro="" textlink="">
      <xdr:nvSpPr>
        <xdr:cNvPr id="33" name="Chevron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988820" y="3147060"/>
          <a:ext cx="182880" cy="92080"/>
        </a:xfrm>
        <a:prstGeom prst="chevr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0</xdr:col>
      <xdr:colOff>899160</xdr:colOff>
      <xdr:row>19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89916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7"/>
  <sheetViews>
    <sheetView zoomScaleNormal="100" workbookViewId="0">
      <selection activeCell="C4" sqref="C4"/>
    </sheetView>
  </sheetViews>
  <sheetFormatPr defaultRowHeight="14.6" x14ac:dyDescent="0.4"/>
  <cols>
    <col min="1" max="1" width="31.84375" style="1" customWidth="1"/>
    <col min="2" max="2" width="39.61328125" style="1" customWidth="1"/>
    <col min="3" max="3" width="36.61328125" style="1" customWidth="1"/>
    <col min="4" max="4" width="21.07421875" style="1" customWidth="1"/>
    <col min="5" max="7" width="9.07421875" style="1"/>
    <col min="8" max="15" width="9.07421875" style="2"/>
    <col min="16" max="23" width="9.07421875" style="1"/>
  </cols>
  <sheetData>
    <row r="1" spans="1:11" ht="26.15" x14ac:dyDescent="0.7">
      <c r="A1" s="3"/>
      <c r="B1" s="40" t="s">
        <v>36</v>
      </c>
      <c r="C1" s="41"/>
      <c r="D1" s="188" t="s">
        <v>146</v>
      </c>
      <c r="E1" s="41"/>
      <c r="F1" s="41"/>
      <c r="I1" s="42"/>
      <c r="J1"/>
      <c r="K1" s="3"/>
    </row>
    <row r="2" spans="1:11" ht="21" customHeight="1" x14ac:dyDescent="0.7">
      <c r="A2" s="3"/>
      <c r="B2" s="40"/>
      <c r="C2" s="41"/>
      <c r="D2" s="113" t="s">
        <v>147</v>
      </c>
      <c r="E2" s="41"/>
      <c r="F2" s="41"/>
      <c r="I2" s="42"/>
      <c r="J2"/>
      <c r="K2" s="3"/>
    </row>
    <row r="3" spans="1:11" ht="17.600000000000001" x14ac:dyDescent="0.4">
      <c r="A3" s="17" t="s">
        <v>17</v>
      </c>
      <c r="B3" s="14" t="s">
        <v>0</v>
      </c>
      <c r="C3" s="14"/>
      <c r="D3" s="14"/>
    </row>
    <row r="4" spans="1:11" ht="19" customHeight="1" x14ac:dyDescent="0.4">
      <c r="A4" s="14"/>
      <c r="B4" s="14"/>
      <c r="C4" s="14"/>
      <c r="D4" s="14"/>
    </row>
    <row r="5" spans="1:11" ht="17.600000000000001" x14ac:dyDescent="0.4">
      <c r="A5" s="17" t="s">
        <v>18</v>
      </c>
      <c r="B5" s="15" t="s">
        <v>130</v>
      </c>
      <c r="C5" s="14"/>
      <c r="D5" s="14"/>
    </row>
    <row r="6" spans="1:11" ht="16" customHeight="1" x14ac:dyDescent="0.4">
      <c r="A6" s="14"/>
      <c r="B6" s="15"/>
      <c r="C6" s="14"/>
      <c r="D6" s="14"/>
    </row>
    <row r="7" spans="1:11" ht="19.75" customHeight="1" x14ac:dyDescent="0.4">
      <c r="A7" s="17" t="s">
        <v>19</v>
      </c>
      <c r="B7" s="14" t="s">
        <v>1</v>
      </c>
      <c r="C7" s="14"/>
      <c r="D7" s="14"/>
    </row>
    <row r="8" spans="1:11" ht="15" customHeight="1" x14ac:dyDescent="0.4">
      <c r="A8" s="14"/>
      <c r="B8" s="14"/>
      <c r="C8" s="14"/>
      <c r="D8" s="14"/>
    </row>
    <row r="9" spans="1:11" ht="17.600000000000001" x14ac:dyDescent="0.4">
      <c r="A9" s="17" t="s">
        <v>29</v>
      </c>
      <c r="D9" s="14"/>
    </row>
    <row r="10" spans="1:11" ht="17.600000000000001" x14ac:dyDescent="0.4">
      <c r="A10" s="17" t="s">
        <v>30</v>
      </c>
      <c r="B10" s="14" t="s">
        <v>20</v>
      </c>
      <c r="C10" s="14"/>
      <c r="D10" s="14"/>
    </row>
    <row r="11" spans="1:11" ht="18.55" customHeight="1" x14ac:dyDescent="0.4">
      <c r="A11" s="17"/>
      <c r="B11" s="14"/>
      <c r="C11" s="14"/>
      <c r="D11" s="14"/>
    </row>
    <row r="12" spans="1:11" ht="17.600000000000001" x14ac:dyDescent="0.4">
      <c r="A12" s="17" t="s">
        <v>21</v>
      </c>
      <c r="B12" s="14" t="s">
        <v>22</v>
      </c>
      <c r="C12" s="8"/>
      <c r="D12" s="14"/>
    </row>
    <row r="13" spans="1:11" ht="18.55" customHeight="1" x14ac:dyDescent="0.4">
      <c r="A13" s="14"/>
      <c r="C13" s="16"/>
      <c r="D13" s="14"/>
    </row>
    <row r="14" spans="1:11" ht="17.600000000000001" x14ac:dyDescent="0.4">
      <c r="A14" s="17" t="s">
        <v>23</v>
      </c>
      <c r="B14" s="14" t="s">
        <v>27</v>
      </c>
      <c r="C14" s="8"/>
      <c r="D14" s="14"/>
    </row>
    <row r="15" spans="1:11" ht="10.3" customHeight="1" x14ac:dyDescent="0.4">
      <c r="A15" s="14" t="s">
        <v>26</v>
      </c>
      <c r="C15" s="16"/>
      <c r="D15" s="16"/>
      <c r="E15" s="16"/>
      <c r="F15" s="16"/>
    </row>
    <row r="16" spans="1:11" ht="34" customHeight="1" x14ac:dyDescent="0.4">
      <c r="A16" s="14"/>
      <c r="B16" s="14"/>
      <c r="C16" s="14"/>
      <c r="D16" s="154" t="s">
        <v>28</v>
      </c>
    </row>
    <row r="17" spans="1:4" ht="17.600000000000001" hidden="1" x14ac:dyDescent="0.4">
      <c r="A17" s="14"/>
      <c r="B17" s="33" t="s">
        <v>76</v>
      </c>
      <c r="C17" s="14"/>
      <c r="D17" s="25">
        <v>1</v>
      </c>
    </row>
    <row r="18" spans="1:4" ht="30" customHeight="1" x14ac:dyDescent="0.4">
      <c r="A18" s="189">
        <v>1</v>
      </c>
      <c r="B18" s="190" t="s">
        <v>135</v>
      </c>
      <c r="C18" s="14"/>
      <c r="D18" s="152" t="s">
        <v>67</v>
      </c>
    </row>
    <row r="19" spans="1:4" ht="30" customHeight="1" x14ac:dyDescent="0.4">
      <c r="A19" s="189">
        <v>2</v>
      </c>
      <c r="B19" s="190" t="s">
        <v>136</v>
      </c>
      <c r="C19" s="14"/>
      <c r="D19" s="153">
        <v>3</v>
      </c>
    </row>
    <row r="20" spans="1:4" ht="30" customHeight="1" x14ac:dyDescent="0.4">
      <c r="A20" s="189">
        <v>3</v>
      </c>
      <c r="B20" s="190" t="s">
        <v>137</v>
      </c>
      <c r="C20" s="14"/>
      <c r="D20" s="153">
        <v>4</v>
      </c>
    </row>
    <row r="21" spans="1:4" ht="30" customHeight="1" x14ac:dyDescent="0.4">
      <c r="A21" s="189">
        <v>4</v>
      </c>
      <c r="B21" s="190" t="s">
        <v>138</v>
      </c>
      <c r="C21" s="14"/>
      <c r="D21" s="153">
        <v>5</v>
      </c>
    </row>
    <row r="22" spans="1:4" ht="30" customHeight="1" x14ac:dyDescent="0.4">
      <c r="A22" s="189">
        <v>5</v>
      </c>
      <c r="B22" s="190" t="s">
        <v>139</v>
      </c>
      <c r="D22" s="153">
        <v>5</v>
      </c>
    </row>
    <row r="23" spans="1:4" ht="30" customHeight="1" x14ac:dyDescent="0.4">
      <c r="A23" s="150"/>
      <c r="B23" s="151"/>
      <c r="D23" s="153"/>
    </row>
    <row r="24" spans="1:4" ht="30" customHeight="1" x14ac:dyDescent="0.4">
      <c r="A24" s="150"/>
      <c r="B24" s="151"/>
      <c r="D24" s="153"/>
    </row>
    <row r="25" spans="1:4" ht="18" customHeight="1" x14ac:dyDescent="0.45">
      <c r="A25" s="43"/>
      <c r="B25" s="14"/>
      <c r="D25" s="25"/>
    </row>
    <row r="26" spans="1:4" x14ac:dyDescent="0.4">
      <c r="A26" s="5"/>
    </row>
    <row r="27" spans="1:4" x14ac:dyDescent="0.4">
      <c r="A27" s="5"/>
    </row>
  </sheetData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13"/>
  <sheetViews>
    <sheetView tabSelected="1" topLeftCell="A200" zoomScale="84" zoomScaleNormal="84" zoomScaleSheetLayoutView="77" workbookViewId="0">
      <selection activeCell="D103" sqref="D103"/>
    </sheetView>
  </sheetViews>
  <sheetFormatPr defaultRowHeight="16" customHeight="1" x14ac:dyDescent="0.4"/>
  <cols>
    <col min="1" max="1" width="58.61328125" style="1" customWidth="1"/>
    <col min="2" max="2" width="25.3828125" style="1" customWidth="1"/>
    <col min="3" max="3" width="23.69140625" style="1" customWidth="1"/>
    <col min="4" max="4" width="23.3828125" style="1" customWidth="1"/>
    <col min="5" max="5" width="22.84375" style="1" customWidth="1"/>
    <col min="6" max="6" width="25.69140625" style="2" customWidth="1"/>
    <col min="7" max="7" width="51.921875" style="2" customWidth="1"/>
    <col min="8" max="13" width="9.07421875" style="2"/>
    <col min="14" max="21" width="9.07421875" style="1"/>
  </cols>
  <sheetData>
    <row r="1" spans="1:21" ht="20.05" customHeight="1" x14ac:dyDescent="0.5">
      <c r="A1" s="19" t="s">
        <v>140</v>
      </c>
      <c r="B1" s="4"/>
      <c r="C1" s="4"/>
      <c r="D1" s="4"/>
      <c r="G1" s="114"/>
    </row>
    <row r="2" spans="1:21" ht="20.05" customHeight="1" x14ac:dyDescent="0.4">
      <c r="A2" s="227" t="s">
        <v>172</v>
      </c>
      <c r="B2" s="4"/>
      <c r="C2" s="4"/>
      <c r="D2" s="4"/>
      <c r="G2" s="114"/>
    </row>
    <row r="3" spans="1:21" ht="20.05" customHeight="1" x14ac:dyDescent="0.4">
      <c r="A3" s="227" t="s">
        <v>157</v>
      </c>
      <c r="B3" s="4"/>
      <c r="C3" s="4"/>
      <c r="D3" s="4"/>
      <c r="G3" s="114"/>
    </row>
    <row r="4" spans="1:21" ht="13.75" customHeight="1" x14ac:dyDescent="0.5">
      <c r="A4" s="8"/>
      <c r="B4" s="35"/>
      <c r="C4" s="35"/>
      <c r="D4" s="36"/>
      <c r="E4" s="16"/>
      <c r="G4" s="114"/>
    </row>
    <row r="5" spans="1:21" ht="20.05" customHeight="1" x14ac:dyDescent="0.4">
      <c r="A5" s="263" t="s">
        <v>25</v>
      </c>
      <c r="B5" s="284" t="s">
        <v>131</v>
      </c>
      <c r="C5" s="284" t="s">
        <v>132</v>
      </c>
      <c r="D5" s="178" t="s">
        <v>4</v>
      </c>
      <c r="E5" s="285" t="s">
        <v>35</v>
      </c>
    </row>
    <row r="6" spans="1:21" ht="20.05" customHeight="1" x14ac:dyDescent="0.4">
      <c r="A6" s="11" t="s">
        <v>6</v>
      </c>
      <c r="B6" s="44">
        <v>107360204</v>
      </c>
      <c r="C6" s="44">
        <v>80551542</v>
      </c>
      <c r="D6" s="179">
        <f>B6-C6</f>
        <v>26808662</v>
      </c>
      <c r="E6" s="45">
        <f>D6/C6</f>
        <v>0.33281376537770063</v>
      </c>
    </row>
    <row r="7" spans="1:21" ht="20.05" customHeight="1" x14ac:dyDescent="0.4">
      <c r="A7" s="11" t="s">
        <v>7</v>
      </c>
      <c r="B7" s="44">
        <v>65111079</v>
      </c>
      <c r="C7" s="44">
        <v>39861815</v>
      </c>
      <c r="D7" s="179">
        <f t="shared" ref="D7:D8" si="0">B7-C7</f>
        <v>25249264</v>
      </c>
      <c r="E7" s="45">
        <f t="shared" ref="E7:E8" si="1">D7/C7</f>
        <v>0.63341982797321195</v>
      </c>
    </row>
    <row r="8" spans="1:21" ht="20.05" customHeight="1" x14ac:dyDescent="0.4">
      <c r="A8" s="12" t="s">
        <v>8</v>
      </c>
      <c r="B8" s="46">
        <f>B6-B7</f>
        <v>42249125</v>
      </c>
      <c r="C8" s="46">
        <f>C6-C7</f>
        <v>40689727</v>
      </c>
      <c r="D8" s="179">
        <f t="shared" si="0"/>
        <v>1559398</v>
      </c>
      <c r="E8" s="45">
        <f t="shared" si="1"/>
        <v>3.8324120483777147E-2</v>
      </c>
    </row>
    <row r="9" spans="1:21" ht="14.15" customHeight="1" x14ac:dyDescent="0.45">
      <c r="A9" s="17"/>
      <c r="B9" s="47"/>
      <c r="C9" s="47"/>
      <c r="D9" s="48"/>
      <c r="E9" s="49"/>
      <c r="F9" s="50"/>
      <c r="G9" s="114"/>
    </row>
    <row r="10" spans="1:21" s="21" customFormat="1" ht="20.05" customHeight="1" x14ac:dyDescent="0.4">
      <c r="A10" s="31" t="s">
        <v>41</v>
      </c>
      <c r="B10" s="286"/>
      <c r="C10" s="287" t="s">
        <v>42</v>
      </c>
      <c r="D10" s="286"/>
      <c r="E10" s="288" t="s">
        <v>42</v>
      </c>
      <c r="F10" s="51" t="s">
        <v>43</v>
      </c>
      <c r="G10" s="114"/>
      <c r="H10" s="20"/>
      <c r="I10" s="20"/>
      <c r="J10" s="20"/>
      <c r="K10" s="20"/>
      <c r="L10" s="20"/>
      <c r="M10" s="20"/>
      <c r="N10" s="6"/>
      <c r="O10" s="6"/>
      <c r="P10" s="6"/>
      <c r="Q10" s="6"/>
      <c r="R10" s="6"/>
      <c r="S10" s="6"/>
      <c r="T10" s="6"/>
      <c r="U10" s="6"/>
    </row>
    <row r="11" spans="1:21" s="21" customFormat="1" ht="20.05" customHeight="1" x14ac:dyDescent="0.4">
      <c r="A11" s="1"/>
      <c r="B11" s="289" t="s">
        <v>131</v>
      </c>
      <c r="C11" s="52" t="s">
        <v>6</v>
      </c>
      <c r="D11" s="289" t="s">
        <v>132</v>
      </c>
      <c r="E11" s="52" t="s">
        <v>6</v>
      </c>
      <c r="F11" s="52" t="s">
        <v>81</v>
      </c>
      <c r="G11" s="114"/>
      <c r="H11" s="20"/>
      <c r="I11" s="20"/>
      <c r="J11" s="20"/>
      <c r="K11" s="20"/>
      <c r="L11" s="20"/>
      <c r="M11" s="20"/>
      <c r="N11" s="6"/>
      <c r="O11" s="6"/>
      <c r="P11" s="6"/>
      <c r="Q11" s="6"/>
      <c r="R11" s="6"/>
      <c r="S11" s="6"/>
      <c r="T11" s="6"/>
      <c r="U11" s="6"/>
    </row>
    <row r="12" spans="1:21" s="21" customFormat="1" ht="20.05" customHeight="1" x14ac:dyDescent="0.4">
      <c r="A12" s="53" t="s">
        <v>44</v>
      </c>
      <c r="B12" s="30">
        <v>1912469.49</v>
      </c>
      <c r="C12" s="54">
        <f>B12/107360204</f>
        <v>1.7813579135896575E-2</v>
      </c>
      <c r="D12" s="30">
        <v>1646280</v>
      </c>
      <c r="E12" s="54">
        <f>D12/80551542</f>
        <v>2.0437597581930835E-2</v>
      </c>
      <c r="F12" s="55">
        <f>B12-D12</f>
        <v>266189.49</v>
      </c>
      <c r="G12" s="114"/>
      <c r="H12" s="20"/>
      <c r="I12" s="20"/>
      <c r="J12" s="20"/>
      <c r="K12" s="20"/>
      <c r="L12" s="20"/>
      <c r="M12" s="20"/>
      <c r="N12" s="6"/>
      <c r="O12" s="6"/>
      <c r="P12" s="6"/>
      <c r="Q12" s="6"/>
      <c r="R12" s="6"/>
      <c r="S12" s="6"/>
      <c r="T12" s="6"/>
      <c r="U12" s="6"/>
    </row>
    <row r="13" spans="1:21" s="21" customFormat="1" ht="20.05" customHeight="1" x14ac:dyDescent="0.4">
      <c r="A13" s="53" t="s">
        <v>45</v>
      </c>
      <c r="B13" s="30">
        <v>5057136.49</v>
      </c>
      <c r="C13" s="54">
        <f t="shared" ref="C13:C17" si="2">B13/107360204</f>
        <v>4.7104385997627202E-2</v>
      </c>
      <c r="D13" s="30">
        <v>8901211</v>
      </c>
      <c r="E13" s="54">
        <f t="shared" ref="E13:E18" si="3">D13/80551542</f>
        <v>0.11050329737945923</v>
      </c>
      <c r="F13" s="55">
        <f t="shared" ref="F13:F25" si="4">B13-D13</f>
        <v>-3844074.51</v>
      </c>
      <c r="G13" s="114"/>
      <c r="H13" s="20"/>
      <c r="I13" s="20"/>
      <c r="J13" s="20"/>
      <c r="K13" s="20"/>
      <c r="L13" s="20"/>
      <c r="M13" s="20"/>
      <c r="N13" s="6"/>
      <c r="O13" s="6"/>
      <c r="P13" s="6"/>
      <c r="Q13" s="6"/>
      <c r="R13" s="6"/>
      <c r="S13" s="6"/>
      <c r="T13" s="6"/>
      <c r="U13" s="6"/>
    </row>
    <row r="14" spans="1:21" ht="20.05" customHeight="1" x14ac:dyDescent="0.4">
      <c r="A14" s="53" t="s">
        <v>46</v>
      </c>
      <c r="B14" s="30">
        <v>2547601.4900000002</v>
      </c>
      <c r="C14" s="54">
        <f t="shared" si="2"/>
        <v>2.37294769857181E-2</v>
      </c>
      <c r="D14" s="30">
        <v>2777496</v>
      </c>
      <c r="E14" s="54">
        <f t="shared" si="3"/>
        <v>3.4480978650911487E-2</v>
      </c>
      <c r="F14" s="55">
        <f t="shared" si="4"/>
        <v>-229894.50999999978</v>
      </c>
      <c r="G14" s="114"/>
    </row>
    <row r="15" spans="1:21" ht="20.05" customHeight="1" x14ac:dyDescent="0.4">
      <c r="A15" s="53" t="s">
        <v>47</v>
      </c>
      <c r="B15" s="30">
        <v>951214.49</v>
      </c>
      <c r="C15" s="54">
        <f t="shared" si="2"/>
        <v>8.8600287123150392E-3</v>
      </c>
      <c r="D15" s="30">
        <v>743146</v>
      </c>
      <c r="E15" s="54">
        <f t="shared" si="3"/>
        <v>9.2257203468556811E-3</v>
      </c>
      <c r="F15" s="55">
        <f t="shared" si="4"/>
        <v>208068.49</v>
      </c>
      <c r="G15" s="114"/>
    </row>
    <row r="16" spans="1:21" ht="20.05" customHeight="1" x14ac:dyDescent="0.4">
      <c r="A16" s="53" t="s">
        <v>48</v>
      </c>
      <c r="B16" s="30">
        <v>1702016</v>
      </c>
      <c r="C16" s="54">
        <f t="shared" si="2"/>
        <v>1.5853323080496383E-2</v>
      </c>
      <c r="D16" s="30">
        <v>1626005</v>
      </c>
      <c r="E16" s="54">
        <f t="shared" si="3"/>
        <v>2.0185895386087085E-2</v>
      </c>
      <c r="F16" s="55">
        <f t="shared" si="4"/>
        <v>76011</v>
      </c>
      <c r="G16" s="114"/>
    </row>
    <row r="17" spans="1:7" ht="20.05" customHeight="1" x14ac:dyDescent="0.4">
      <c r="A17" s="53" t="s">
        <v>49</v>
      </c>
      <c r="B17" s="30">
        <f>2882551-1000000-336800</f>
        <v>1545751</v>
      </c>
      <c r="C17" s="54">
        <f t="shared" si="2"/>
        <v>1.4397802373773434E-2</v>
      </c>
      <c r="D17" s="30">
        <f>2329879-1575166</f>
        <v>754713</v>
      </c>
      <c r="E17" s="54">
        <f t="shared" si="3"/>
        <v>9.3693178462058487E-3</v>
      </c>
      <c r="F17" s="55">
        <f t="shared" si="4"/>
        <v>791038</v>
      </c>
      <c r="G17" s="114"/>
    </row>
    <row r="18" spans="1:7" ht="20.05" customHeight="1" x14ac:dyDescent="0.4">
      <c r="A18" s="56" t="s">
        <v>50</v>
      </c>
      <c r="B18" s="57">
        <f>SUM(B12:B17)</f>
        <v>13716188.960000001</v>
      </c>
      <c r="C18" s="74">
        <f>SUM(C12:C17)</f>
        <v>0.12775859628582675</v>
      </c>
      <c r="D18" s="57">
        <f>SUM(D12:D17)</f>
        <v>16448851</v>
      </c>
      <c r="E18" s="74">
        <f t="shared" si="3"/>
        <v>0.20420280719145018</v>
      </c>
      <c r="F18" s="57">
        <f>SUM(F12:F17)</f>
        <v>-2732662.0399999991</v>
      </c>
      <c r="G18" s="114"/>
    </row>
    <row r="19" spans="1:7" ht="20.05" customHeight="1" x14ac:dyDescent="0.4">
      <c r="A19" s="53" t="s">
        <v>51</v>
      </c>
      <c r="B19" s="30">
        <f>33296059+167675-22271040</f>
        <v>11192694</v>
      </c>
      <c r="C19" s="54">
        <f t="shared" ref="C19:C25" si="5">B19/107360204</f>
        <v>0.10425365808731138</v>
      </c>
      <c r="D19" s="30">
        <v>11167690</v>
      </c>
      <c r="E19" s="54">
        <f t="shared" ref="E19:E25" si="6">D19/80551542</f>
        <v>0.13864030064129623</v>
      </c>
      <c r="F19" s="55">
        <f>B19-D19</f>
        <v>25004</v>
      </c>
      <c r="G19" s="114"/>
    </row>
    <row r="20" spans="1:7" ht="20.05" customHeight="1" x14ac:dyDescent="0.4">
      <c r="A20" s="53" t="s">
        <v>52</v>
      </c>
      <c r="B20" s="30">
        <v>1000000</v>
      </c>
      <c r="C20" s="54">
        <f t="shared" si="5"/>
        <v>9.3144383369465275E-3</v>
      </c>
      <c r="D20" s="30">
        <v>1000000</v>
      </c>
      <c r="E20" s="54">
        <f t="shared" si="6"/>
        <v>1.241441163224411E-2</v>
      </c>
      <c r="F20" s="55">
        <f t="shared" si="4"/>
        <v>0</v>
      </c>
      <c r="G20" s="114"/>
    </row>
    <row r="21" spans="1:7" ht="20.05" customHeight="1" x14ac:dyDescent="0.4">
      <c r="A21" s="53" t="s">
        <v>53</v>
      </c>
      <c r="B21" s="30">
        <f>3870000-3533200</f>
        <v>336800</v>
      </c>
      <c r="C21" s="54">
        <f t="shared" si="5"/>
        <v>3.1371028318835908E-3</v>
      </c>
      <c r="D21" s="30">
        <v>575166</v>
      </c>
      <c r="E21" s="54">
        <f t="shared" si="6"/>
        <v>7.1403474808713159E-3</v>
      </c>
      <c r="F21" s="55">
        <f t="shared" si="4"/>
        <v>-238366</v>
      </c>
      <c r="G21" s="114"/>
    </row>
    <row r="22" spans="1:7" ht="20.05" customHeight="1" x14ac:dyDescent="0.4">
      <c r="A22" s="53" t="s">
        <v>199</v>
      </c>
      <c r="B22" s="30">
        <v>22271040</v>
      </c>
      <c r="C22" s="54">
        <f t="shared" si="5"/>
        <v>0.20744222877966961</v>
      </c>
      <c r="D22" s="30">
        <v>0</v>
      </c>
      <c r="E22" s="54">
        <f t="shared" si="6"/>
        <v>0</v>
      </c>
      <c r="F22" s="55">
        <f t="shared" si="4"/>
        <v>22271040</v>
      </c>
      <c r="G22" s="114"/>
    </row>
    <row r="23" spans="1:7" ht="20.05" customHeight="1" x14ac:dyDescent="0.4">
      <c r="A23" s="53" t="s">
        <v>78</v>
      </c>
      <c r="B23" s="30">
        <v>7000000</v>
      </c>
      <c r="C23" s="54">
        <f t="shared" si="5"/>
        <v>6.5201068358625699E-2</v>
      </c>
      <c r="D23" s="30">
        <v>6000000</v>
      </c>
      <c r="E23" s="54">
        <f t="shared" si="6"/>
        <v>7.4486469793464655E-2</v>
      </c>
      <c r="F23" s="55">
        <f t="shared" si="4"/>
        <v>1000000</v>
      </c>
      <c r="G23" s="114"/>
    </row>
    <row r="24" spans="1:7" ht="20.05" customHeight="1" x14ac:dyDescent="0.4">
      <c r="A24" s="53" t="s">
        <v>133</v>
      </c>
      <c r="B24" s="30">
        <v>51844854</v>
      </c>
      <c r="C24" s="54">
        <f t="shared" si="5"/>
        <v>0.48290569567099556</v>
      </c>
      <c r="D24" s="30">
        <f>51361208-6000000</f>
        <v>45361208</v>
      </c>
      <c r="E24" s="54">
        <f t="shared" si="6"/>
        <v>0.56313270824784456</v>
      </c>
      <c r="F24" s="55">
        <f t="shared" si="4"/>
        <v>6483646</v>
      </c>
      <c r="G24" s="114"/>
    </row>
    <row r="25" spans="1:7" ht="20.05" customHeight="1" x14ac:dyDescent="0.4">
      <c r="A25" s="58" t="s">
        <v>54</v>
      </c>
      <c r="B25" s="59">
        <v>-1373</v>
      </c>
      <c r="C25" s="54">
        <f t="shared" si="5"/>
        <v>-1.2788723836627583E-5</v>
      </c>
      <c r="D25" s="60">
        <v>-1373</v>
      </c>
      <c r="E25" s="54">
        <f t="shared" si="6"/>
        <v>-1.7044987171071163E-5</v>
      </c>
      <c r="F25" s="55">
        <f t="shared" si="4"/>
        <v>0</v>
      </c>
    </row>
    <row r="26" spans="1:7" ht="20.05" customHeight="1" thickBot="1" x14ac:dyDescent="0.45">
      <c r="A26" s="61" t="s">
        <v>55</v>
      </c>
      <c r="B26" s="62">
        <f>SUM(B18:B25)</f>
        <v>107360203.96000001</v>
      </c>
      <c r="C26" s="63">
        <f>SUM(C18:C25)</f>
        <v>0.99999999962742248</v>
      </c>
      <c r="D26" s="62">
        <f>SUM(D18:D25)</f>
        <v>80551542</v>
      </c>
      <c r="E26" s="63">
        <f>SUM(E18:E25)</f>
        <v>1</v>
      </c>
      <c r="F26" s="62">
        <f>SUM(F18:F25)</f>
        <v>26808661.960000001</v>
      </c>
    </row>
    <row r="27" spans="1:7" ht="8.6" customHeight="1" x14ac:dyDescent="0.4">
      <c r="A27" s="10"/>
      <c r="B27" s="108"/>
      <c r="C27" s="109"/>
      <c r="D27" s="108"/>
      <c r="E27" s="109"/>
      <c r="F27" s="108"/>
    </row>
    <row r="28" spans="1:7" ht="12" customHeight="1" x14ac:dyDescent="0.4">
      <c r="A28" s="32"/>
      <c r="B28" s="64"/>
      <c r="C28" s="65"/>
      <c r="D28" s="64"/>
      <c r="E28" s="65"/>
      <c r="G28" s="114"/>
    </row>
    <row r="29" spans="1:7" ht="20.05" customHeight="1" x14ac:dyDescent="0.4">
      <c r="A29" s="31" t="s">
        <v>56</v>
      </c>
      <c r="B29" s="290"/>
      <c r="C29" s="291" t="s">
        <v>57</v>
      </c>
      <c r="D29" s="290"/>
      <c r="E29" s="291" t="s">
        <v>57</v>
      </c>
      <c r="F29" s="51" t="s">
        <v>43</v>
      </c>
      <c r="G29" s="114"/>
    </row>
    <row r="30" spans="1:7" ht="20.05" customHeight="1" x14ac:dyDescent="0.4">
      <c r="B30" s="289" t="s">
        <v>131</v>
      </c>
      <c r="C30" s="292" t="s">
        <v>7</v>
      </c>
      <c r="D30" s="289" t="s">
        <v>132</v>
      </c>
      <c r="E30" s="292" t="s">
        <v>7</v>
      </c>
      <c r="F30" s="52" t="s">
        <v>81</v>
      </c>
      <c r="G30" s="114"/>
    </row>
    <row r="31" spans="1:7" ht="20.05" customHeight="1" x14ac:dyDescent="0.4">
      <c r="A31" s="53" t="s">
        <v>58</v>
      </c>
      <c r="B31" s="30">
        <v>1090772</v>
      </c>
      <c r="C31" s="54">
        <f>B31/65111079</f>
        <v>1.6752479251649324E-2</v>
      </c>
      <c r="D31" s="30">
        <v>1100000</v>
      </c>
      <c r="E31" s="54">
        <f>D31/39861815</f>
        <v>2.759533152215974E-2</v>
      </c>
      <c r="F31" s="55">
        <f>B31-D31</f>
        <v>-9228</v>
      </c>
      <c r="G31" s="114"/>
    </row>
    <row r="32" spans="1:7" ht="20.05" customHeight="1" x14ac:dyDescent="0.4">
      <c r="A32" s="53" t="s">
        <v>59</v>
      </c>
      <c r="B32" s="30">
        <f>5796108+66125+248-1500000</f>
        <v>4362481</v>
      </c>
      <c r="C32" s="54">
        <f t="shared" ref="C32:C39" si="7">B32/65111079</f>
        <v>6.70005944764024E-2</v>
      </c>
      <c r="D32" s="30">
        <f>3076454+31193+28670-1000000</f>
        <v>2136317</v>
      </c>
      <c r="E32" s="54">
        <f t="shared" ref="E32:E44" si="8">D32/39861815</f>
        <v>5.3593068955841573E-2</v>
      </c>
      <c r="F32" s="55">
        <f t="shared" ref="F32:F37" si="9">B32-D32</f>
        <v>2226164</v>
      </c>
      <c r="G32" s="114"/>
    </row>
    <row r="33" spans="1:7" ht="20.05" customHeight="1" x14ac:dyDescent="0.4">
      <c r="A33" s="53" t="s">
        <v>60</v>
      </c>
      <c r="B33" s="30">
        <f>9619053-9233758</f>
        <v>385295</v>
      </c>
      <c r="C33" s="54">
        <f t="shared" si="7"/>
        <v>5.9175029183589477E-3</v>
      </c>
      <c r="D33" s="30">
        <f>7466715-7171969</f>
        <v>294746</v>
      </c>
      <c r="E33" s="54">
        <f t="shared" si="8"/>
        <v>7.3941941680277226E-3</v>
      </c>
      <c r="F33" s="55">
        <f t="shared" si="9"/>
        <v>90549</v>
      </c>
      <c r="G33" s="114"/>
    </row>
    <row r="34" spans="1:7" ht="20.05" customHeight="1" x14ac:dyDescent="0.4">
      <c r="A34" s="53" t="s">
        <v>61</v>
      </c>
      <c r="B34" s="30">
        <v>4388273.5</v>
      </c>
      <c r="C34" s="54">
        <f t="shared" si="7"/>
        <v>6.739672521783889E-2</v>
      </c>
      <c r="D34" s="30">
        <v>4413388</v>
      </c>
      <c r="E34" s="54">
        <f t="shared" si="8"/>
        <v>0.11071718635992867</v>
      </c>
      <c r="F34" s="55">
        <f t="shared" si="9"/>
        <v>-25114.5</v>
      </c>
      <c r="G34" s="114"/>
    </row>
    <row r="35" spans="1:7" ht="20.05" customHeight="1" x14ac:dyDescent="0.4">
      <c r="A35" s="53" t="s">
        <v>62</v>
      </c>
      <c r="B35" s="30">
        <v>2455190.5099999998</v>
      </c>
      <c r="C35" s="54">
        <f t="shared" si="7"/>
        <v>3.7707722674969031E-2</v>
      </c>
      <c r="D35" s="30">
        <v>2699759</v>
      </c>
      <c r="E35" s="54">
        <f t="shared" si="8"/>
        <v>6.7727949668122234E-2</v>
      </c>
      <c r="F35" s="55">
        <f t="shared" si="9"/>
        <v>-244568.49000000022</v>
      </c>
      <c r="G35" s="114"/>
    </row>
    <row r="36" spans="1:7" ht="20.05" customHeight="1" x14ac:dyDescent="0.4">
      <c r="A36" s="53" t="s">
        <v>63</v>
      </c>
      <c r="B36" s="30">
        <v>3809314.51</v>
      </c>
      <c r="C36" s="54">
        <f t="shared" si="7"/>
        <v>5.8504859211440802E-2</v>
      </c>
      <c r="D36" s="30">
        <v>6675178</v>
      </c>
      <c r="E36" s="54">
        <f t="shared" si="8"/>
        <v>0.16745795443584294</v>
      </c>
      <c r="F36" s="55">
        <f t="shared" si="9"/>
        <v>-2865863.49</v>
      </c>
      <c r="G36" s="115"/>
    </row>
    <row r="37" spans="1:7" ht="20.05" customHeight="1" x14ac:dyDescent="0.4">
      <c r="A37" s="53" t="s">
        <v>24</v>
      </c>
      <c r="B37" s="116">
        <f>14964953.51-5840185</f>
        <v>9124768.5099999998</v>
      </c>
      <c r="C37" s="54">
        <f t="shared" si="7"/>
        <v>0.14014156500155681</v>
      </c>
      <c r="D37" s="30">
        <f>13470458-6972104</f>
        <v>6498354</v>
      </c>
      <c r="E37" s="54">
        <f t="shared" si="8"/>
        <v>0.16302202998032075</v>
      </c>
      <c r="F37" s="55">
        <f t="shared" si="9"/>
        <v>2626414.5099999998</v>
      </c>
      <c r="G37" s="115"/>
    </row>
    <row r="38" spans="1:7" ht="20.05" customHeight="1" x14ac:dyDescent="0.4">
      <c r="A38" s="56" t="s">
        <v>64</v>
      </c>
      <c r="B38" s="57">
        <f>SUM(B31:B37)</f>
        <v>25616095.030000001</v>
      </c>
      <c r="C38" s="74">
        <f t="shared" si="7"/>
        <v>0.39342144875221619</v>
      </c>
      <c r="D38" s="57">
        <f>SUM(D31:D37)</f>
        <v>23817742</v>
      </c>
      <c r="E38" s="74">
        <f t="shared" si="8"/>
        <v>0.59750771509024359</v>
      </c>
      <c r="F38" s="57">
        <f>SUM(F31:F37)</f>
        <v>1798353.0299999993</v>
      </c>
      <c r="G38" s="115"/>
    </row>
    <row r="39" spans="1:7" ht="20.05" customHeight="1" x14ac:dyDescent="0.4">
      <c r="A39" s="234" t="s">
        <v>164</v>
      </c>
      <c r="B39" s="235">
        <v>5840185</v>
      </c>
      <c r="C39" s="54">
        <f t="shared" si="7"/>
        <v>8.9695718297035126E-2</v>
      </c>
      <c r="D39" s="235">
        <v>6972104</v>
      </c>
      <c r="E39" s="54">
        <f t="shared" si="8"/>
        <v>0.17490683753361455</v>
      </c>
      <c r="F39" s="235"/>
      <c r="G39" s="115"/>
    </row>
    <row r="40" spans="1:7" ht="20.05" customHeight="1" x14ac:dyDescent="0.4">
      <c r="A40" s="53" t="s">
        <v>116</v>
      </c>
      <c r="B40" s="30">
        <v>9233757.7400000002</v>
      </c>
      <c r="C40" s="54">
        <f t="shared" ref="C40:C44" si="10">B40/65111079</f>
        <v>0.1418154618509701</v>
      </c>
      <c r="D40" s="30">
        <v>7171969</v>
      </c>
      <c r="E40" s="54">
        <f t="shared" si="8"/>
        <v>0.17992078383786589</v>
      </c>
      <c r="F40" s="55">
        <f t="shared" ref="F40:F44" si="11">B40-D40</f>
        <v>2061788.7400000002</v>
      </c>
      <c r="G40" s="115"/>
    </row>
    <row r="41" spans="1:7" ht="20.05" customHeight="1" x14ac:dyDescent="0.4">
      <c r="A41" s="53" t="s">
        <v>82</v>
      </c>
      <c r="B41" s="108">
        <f>20710807+1560234</f>
        <v>22271041</v>
      </c>
      <c r="C41" s="54">
        <f t="shared" si="10"/>
        <v>0.34204687346680279</v>
      </c>
      <c r="D41" s="16">
        <v>0</v>
      </c>
      <c r="E41" s="54">
        <f t="shared" si="8"/>
        <v>0</v>
      </c>
      <c r="F41" s="30">
        <f t="shared" si="11"/>
        <v>22271041</v>
      </c>
    </row>
    <row r="42" spans="1:7" ht="20.05" customHeight="1" x14ac:dyDescent="0.4">
      <c r="A42" s="53" t="s">
        <v>12</v>
      </c>
      <c r="B42" s="30">
        <v>1500000</v>
      </c>
      <c r="C42" s="54">
        <f t="shared" si="10"/>
        <v>2.3037554023640123E-2</v>
      </c>
      <c r="D42" s="30">
        <v>1000000</v>
      </c>
      <c r="E42" s="54">
        <f t="shared" si="8"/>
        <v>2.508666502014522E-2</v>
      </c>
      <c r="F42" s="55">
        <f>B42-D42</f>
        <v>500000</v>
      </c>
      <c r="G42" s="115"/>
    </row>
    <row r="43" spans="1:7" ht="20.05" customHeight="1" x14ac:dyDescent="0.4">
      <c r="A43" s="53" t="s">
        <v>200</v>
      </c>
      <c r="B43" s="30">
        <v>650000</v>
      </c>
      <c r="C43" s="54">
        <f t="shared" si="10"/>
        <v>9.98294007691072E-3</v>
      </c>
      <c r="D43" s="30"/>
      <c r="E43" s="54">
        <f t="shared" si="8"/>
        <v>0</v>
      </c>
      <c r="F43" s="55">
        <f>B43-D43</f>
        <v>650000</v>
      </c>
      <c r="G43" s="115"/>
    </row>
    <row r="44" spans="1:7" ht="20.05" customHeight="1" x14ac:dyDescent="0.4">
      <c r="A44" s="53" t="s">
        <v>134</v>
      </c>
      <c r="B44" s="30">
        <v>0</v>
      </c>
      <c r="C44" s="54">
        <f t="shared" si="10"/>
        <v>0</v>
      </c>
      <c r="D44" s="30">
        <v>900000</v>
      </c>
      <c r="E44" s="54">
        <f t="shared" si="8"/>
        <v>2.2577998518130696E-2</v>
      </c>
      <c r="F44" s="55">
        <f t="shared" si="11"/>
        <v>-900000</v>
      </c>
      <c r="G44" s="115"/>
    </row>
    <row r="45" spans="1:7" ht="20.05" customHeight="1" x14ac:dyDescent="0.4">
      <c r="A45" s="66" t="s">
        <v>5</v>
      </c>
      <c r="B45" s="67">
        <f>SUM(B38:B44)</f>
        <v>65111078.770000003</v>
      </c>
      <c r="C45" s="68">
        <f>SUM(C38:C44)</f>
        <v>0.99999999646757509</v>
      </c>
      <c r="D45" s="67">
        <f>SUM(D38:D44)</f>
        <v>39861815</v>
      </c>
      <c r="E45" s="68">
        <f>SUM(E38:E44)</f>
        <v>1</v>
      </c>
      <c r="F45" s="67">
        <f>SUM(F38:F44)</f>
        <v>26381182.77</v>
      </c>
      <c r="G45" s="36"/>
    </row>
    <row r="46" spans="1:7" ht="20.05" customHeight="1" x14ac:dyDescent="0.4">
      <c r="A46" s="49" t="s">
        <v>74</v>
      </c>
      <c r="B46" s="48"/>
      <c r="C46" s="69">
        <f>B45/107360204</f>
        <v>0.60647312825523325</v>
      </c>
      <c r="D46" s="70"/>
      <c r="E46" s="69">
        <f>D45/80551542</f>
        <v>0.49486097981836275</v>
      </c>
      <c r="F46" s="71"/>
      <c r="G46" s="36"/>
    </row>
    <row r="47" spans="1:7" ht="20.05" customHeight="1" x14ac:dyDescent="0.4">
      <c r="A47" s="66" t="s">
        <v>65</v>
      </c>
      <c r="B47" s="72">
        <v>42249125</v>
      </c>
      <c r="C47" s="73">
        <f>B47/107360204</f>
        <v>0.39352686960244598</v>
      </c>
      <c r="D47" s="72">
        <v>40689727</v>
      </c>
      <c r="E47" s="73">
        <f>D47/80551542</f>
        <v>0.50513902018163725</v>
      </c>
      <c r="F47" s="72">
        <f t="shared" ref="F47:F49" si="12">B47-D47</f>
        <v>1559398</v>
      </c>
      <c r="G47" s="14"/>
    </row>
    <row r="48" spans="1:7" ht="20.05" customHeight="1" x14ac:dyDescent="0.5">
      <c r="A48" s="75"/>
      <c r="B48" s="36"/>
      <c r="C48" s="76"/>
      <c r="D48" s="36"/>
      <c r="E48" s="36"/>
      <c r="F48" s="77"/>
      <c r="G48"/>
    </row>
    <row r="49" spans="1:21" ht="20.05" customHeight="1" thickBot="1" x14ac:dyDescent="0.45">
      <c r="A49" s="78" t="s">
        <v>66</v>
      </c>
      <c r="B49" s="62">
        <f>B45+B47</f>
        <v>107360203.77000001</v>
      </c>
      <c r="C49" s="63">
        <f>SUM(C46:C47)</f>
        <v>0.99999999785767923</v>
      </c>
      <c r="D49" s="62">
        <f t="shared" ref="D49" si="13">D45+D47</f>
        <v>80551542</v>
      </c>
      <c r="E49" s="63">
        <f>SUM(E46:E47)</f>
        <v>1</v>
      </c>
      <c r="F49" s="38">
        <f t="shared" si="12"/>
        <v>26808661.770000011</v>
      </c>
      <c r="G49" s="14"/>
    </row>
    <row r="50" spans="1:21" ht="20.05" customHeight="1" x14ac:dyDescent="0.4">
      <c r="A50" s="139"/>
      <c r="B50" s="144"/>
      <c r="C50" s="141"/>
      <c r="D50" s="140"/>
      <c r="E50" s="141"/>
      <c r="F50" s="142" t="s">
        <v>112</v>
      </c>
      <c r="G50" s="14"/>
    </row>
    <row r="51" spans="1:21" ht="20.05" customHeight="1" x14ac:dyDescent="0.4">
      <c r="A51" s="228" t="s">
        <v>181</v>
      </c>
      <c r="B51" s="228"/>
      <c r="C51" s="228"/>
      <c r="D51" s="229"/>
      <c r="E51" s="230"/>
      <c r="F51" s="142"/>
      <c r="G51" s="14"/>
    </row>
    <row r="52" spans="1:21" ht="20.05" customHeight="1" thickBot="1" x14ac:dyDescent="0.55000000000000004">
      <c r="A52" s="19" t="s">
        <v>180</v>
      </c>
      <c r="B52" s="143"/>
      <c r="C52" s="4"/>
      <c r="D52" s="4"/>
      <c r="F52" s="22"/>
      <c r="G52" s="14"/>
    </row>
    <row r="53" spans="1:21" ht="23.05" customHeight="1" thickBot="1" x14ac:dyDescent="0.45">
      <c r="A53" s="180" t="s">
        <v>113</v>
      </c>
      <c r="B53" s="293" t="s">
        <v>65</v>
      </c>
      <c r="C53" s="195" t="s">
        <v>106</v>
      </c>
      <c r="D53" s="28"/>
      <c r="E53" s="16"/>
      <c r="M53" s="1"/>
      <c r="U53"/>
    </row>
    <row r="54" spans="1:21" ht="23.05" customHeight="1" x14ac:dyDescent="0.4">
      <c r="A54" s="264" t="s">
        <v>131</v>
      </c>
      <c r="B54" s="216">
        <v>42249125</v>
      </c>
      <c r="C54" s="217">
        <f>B54-B55</f>
        <v>2536508</v>
      </c>
      <c r="D54" s="28"/>
      <c r="E54" s="16"/>
      <c r="M54" s="1"/>
      <c r="U54"/>
    </row>
    <row r="55" spans="1:21" ht="23.05" customHeight="1" x14ac:dyDescent="0.4">
      <c r="A55" s="212" t="s">
        <v>85</v>
      </c>
      <c r="B55" s="55">
        <v>39712617</v>
      </c>
      <c r="C55" s="213">
        <f>B55-B56</f>
        <v>-7358714</v>
      </c>
      <c r="D55" s="28"/>
      <c r="E55" s="28"/>
      <c r="M55" s="1"/>
      <c r="U55"/>
    </row>
    <row r="56" spans="1:21" ht="23.05" customHeight="1" x14ac:dyDescent="0.4">
      <c r="A56" s="212" t="s">
        <v>83</v>
      </c>
      <c r="B56" s="55">
        <v>47071331</v>
      </c>
      <c r="C56" s="213">
        <f>B56-B57</f>
        <v>7171053</v>
      </c>
      <c r="D56" s="28"/>
      <c r="E56" s="28"/>
      <c r="M56" s="1"/>
      <c r="U56"/>
    </row>
    <row r="57" spans="1:21" ht="23.05" customHeight="1" x14ac:dyDescent="0.4">
      <c r="A57" s="212" t="s">
        <v>70</v>
      </c>
      <c r="B57" s="55">
        <v>39900278</v>
      </c>
      <c r="C57" s="213">
        <f>B57-B58</f>
        <v>9429059</v>
      </c>
      <c r="D57" s="28"/>
      <c r="E57" s="28"/>
      <c r="M57" s="1"/>
      <c r="U57"/>
    </row>
    <row r="58" spans="1:21" ht="23.05" customHeight="1" x14ac:dyDescent="0.4">
      <c r="A58" s="214" t="s">
        <v>71</v>
      </c>
      <c r="B58" s="55">
        <v>30471219</v>
      </c>
      <c r="C58" s="213">
        <f t="shared" ref="C58:C60" si="14">B58-B59</f>
        <v>-1143930</v>
      </c>
      <c r="D58" s="28"/>
      <c r="E58" s="28"/>
      <c r="M58" s="1"/>
      <c r="U58"/>
    </row>
    <row r="59" spans="1:21" ht="23.05" customHeight="1" x14ac:dyDescent="0.4">
      <c r="A59" s="214" t="s">
        <v>86</v>
      </c>
      <c r="B59" s="55">
        <v>31615149</v>
      </c>
      <c r="C59" s="213">
        <f t="shared" si="14"/>
        <v>-7176560</v>
      </c>
      <c r="D59" s="28"/>
      <c r="E59" s="28"/>
      <c r="M59" s="1"/>
      <c r="U59"/>
    </row>
    <row r="60" spans="1:21" ht="23.05" customHeight="1" x14ac:dyDescent="0.4">
      <c r="A60" s="214" t="s">
        <v>87</v>
      </c>
      <c r="B60" s="55">
        <v>38791709</v>
      </c>
      <c r="C60" s="213">
        <f t="shared" si="14"/>
        <v>7966767</v>
      </c>
      <c r="D60" s="28"/>
      <c r="E60" s="28"/>
      <c r="M60" s="1"/>
      <c r="U60"/>
    </row>
    <row r="61" spans="1:21" ht="23.05" customHeight="1" thickBot="1" x14ac:dyDescent="0.45">
      <c r="A61" s="215" t="s">
        <v>88</v>
      </c>
      <c r="B61" s="218">
        <v>30824942</v>
      </c>
      <c r="C61" s="219" t="s">
        <v>155</v>
      </c>
      <c r="D61" s="211"/>
      <c r="E61" s="28"/>
      <c r="M61" s="1"/>
      <c r="U61"/>
    </row>
    <row r="62" spans="1:21" ht="16.5" customHeight="1" x14ac:dyDescent="0.4">
      <c r="A62" s="121"/>
      <c r="B62" s="29"/>
      <c r="C62" s="29"/>
      <c r="D62" s="29"/>
      <c r="E62" s="28"/>
      <c r="F62" s="28"/>
    </row>
    <row r="63" spans="1:21" ht="23.05" customHeight="1" x14ac:dyDescent="0.4">
      <c r="A63" s="227" t="s">
        <v>158</v>
      </c>
      <c r="B63" s="8"/>
      <c r="C63" s="8"/>
      <c r="D63" s="8"/>
      <c r="E63" s="14"/>
      <c r="G63" s="34"/>
    </row>
    <row r="64" spans="1:21" ht="23.05" customHeight="1" x14ac:dyDescent="0.4">
      <c r="A64" s="227" t="s">
        <v>197</v>
      </c>
      <c r="B64" s="8"/>
      <c r="C64" s="8"/>
      <c r="D64" s="8"/>
      <c r="E64" s="14"/>
      <c r="G64" s="34"/>
    </row>
    <row r="65" spans="1:21" ht="15" customHeight="1" x14ac:dyDescent="0.4">
      <c r="A65" s="227"/>
      <c r="B65" s="8"/>
      <c r="C65" s="8"/>
      <c r="D65" s="8"/>
      <c r="E65" s="14"/>
      <c r="G65" s="34"/>
    </row>
    <row r="66" spans="1:21" s="35" customFormat="1" ht="23.05" customHeight="1" x14ac:dyDescent="0.5">
      <c r="A66" s="227" t="s">
        <v>120</v>
      </c>
      <c r="B66" s="227"/>
      <c r="C66" s="227"/>
      <c r="D66" s="227"/>
      <c r="E66" s="278"/>
      <c r="G66" s="34"/>
      <c r="H66" s="3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s="35" customFormat="1" ht="23.05" customHeight="1" x14ac:dyDescent="0.5">
      <c r="A67" s="227" t="s">
        <v>121</v>
      </c>
      <c r="B67" s="227"/>
      <c r="C67" s="227"/>
      <c r="D67" s="279"/>
      <c r="E67" s="228"/>
      <c r="F67" s="34"/>
      <c r="G67" s="34"/>
      <c r="H67" s="3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16" customHeight="1" thickBot="1" x14ac:dyDescent="0.55000000000000004">
      <c r="A68" s="19"/>
      <c r="B68" s="4"/>
      <c r="C68" s="4"/>
      <c r="D68" s="4"/>
      <c r="G68" s="34"/>
    </row>
    <row r="69" spans="1:21" ht="23.05" customHeight="1" x14ac:dyDescent="0.5">
      <c r="A69" s="79"/>
      <c r="B69" s="294" t="s">
        <v>131</v>
      </c>
      <c r="C69" s="80"/>
      <c r="D69" s="295" t="s">
        <v>132</v>
      </c>
      <c r="G69" s="34"/>
    </row>
    <row r="70" spans="1:21" ht="23.05" customHeight="1" x14ac:dyDescent="0.4">
      <c r="A70" s="133" t="s">
        <v>107</v>
      </c>
      <c r="B70" s="30">
        <f>B18</f>
        <v>13716188.960000001</v>
      </c>
      <c r="C70" s="268"/>
      <c r="D70" s="200">
        <f>D18</f>
        <v>16448851</v>
      </c>
      <c r="G70" s="34"/>
    </row>
    <row r="71" spans="1:21" ht="23.05" customHeight="1" x14ac:dyDescent="0.4">
      <c r="A71" s="133" t="s">
        <v>108</v>
      </c>
      <c r="B71" s="59">
        <f>B38</f>
        <v>25616095.030000001</v>
      </c>
      <c r="C71" s="59"/>
      <c r="D71" s="269">
        <f>D38</f>
        <v>23817742</v>
      </c>
      <c r="E71" s="26"/>
      <c r="F71" s="85"/>
      <c r="G71" s="34"/>
    </row>
    <row r="72" spans="1:21" ht="23.05" customHeight="1" thickBot="1" x14ac:dyDescent="0.55000000000000004">
      <c r="A72" s="132" t="s">
        <v>109</v>
      </c>
      <c r="B72" s="62">
        <f>B70-B71</f>
        <v>-11899906.07</v>
      </c>
      <c r="C72" s="268"/>
      <c r="D72" s="270">
        <f>D70-D71</f>
        <v>-7368891</v>
      </c>
      <c r="E72" s="26"/>
      <c r="F72" s="85"/>
      <c r="G72" s="34"/>
      <c r="H72" s="28"/>
    </row>
    <row r="73" spans="1:21" ht="5.5" customHeight="1" thickBot="1" x14ac:dyDescent="0.55000000000000004">
      <c r="A73" s="81"/>
      <c r="B73" s="110"/>
      <c r="C73" s="82"/>
      <c r="D73" s="111"/>
      <c r="E73" s="26"/>
      <c r="F73" s="85"/>
      <c r="G73" s="34"/>
      <c r="H73" s="28"/>
    </row>
    <row r="74" spans="1:21" ht="14.5" customHeight="1" thickBot="1" x14ac:dyDescent="0.55000000000000004">
      <c r="A74" s="118"/>
      <c r="B74" s="119"/>
      <c r="C74" s="120"/>
      <c r="D74" s="119"/>
      <c r="E74" s="26"/>
      <c r="F74" s="85"/>
      <c r="G74" s="34"/>
      <c r="H74" s="28"/>
    </row>
    <row r="75" spans="1:21" ht="23.05" customHeight="1" thickBot="1" x14ac:dyDescent="0.45">
      <c r="A75" s="296" t="s">
        <v>189</v>
      </c>
      <c r="B75" s="297" t="s">
        <v>156</v>
      </c>
      <c r="C75" s="17"/>
      <c r="D75" s="119"/>
      <c r="E75" s="163"/>
      <c r="F75" s="85"/>
      <c r="G75" s="34"/>
      <c r="H75" s="28"/>
    </row>
    <row r="76" spans="1:21" ht="23.05" customHeight="1" x14ac:dyDescent="0.4">
      <c r="A76" s="220" t="s">
        <v>131</v>
      </c>
      <c r="B76" s="177">
        <v>-11899906</v>
      </c>
      <c r="C76" s="120"/>
      <c r="D76" s="119"/>
      <c r="E76" s="26"/>
      <c r="F76" s="155"/>
      <c r="G76" s="156"/>
      <c r="H76" s="28"/>
    </row>
    <row r="77" spans="1:21" ht="23.05" customHeight="1" x14ac:dyDescent="0.4">
      <c r="A77" s="221" t="s">
        <v>85</v>
      </c>
      <c r="B77" s="224">
        <f>-15665547+6972104</f>
        <v>-8693443</v>
      </c>
      <c r="C77" s="120"/>
      <c r="D77" s="157"/>
      <c r="E77" s="158"/>
      <c r="F77" s="159"/>
      <c r="G77" s="34"/>
      <c r="H77" s="28"/>
    </row>
    <row r="78" spans="1:21" ht="23.05" customHeight="1" x14ac:dyDescent="0.4">
      <c r="A78" s="222" t="s">
        <v>84</v>
      </c>
      <c r="B78" s="225">
        <f>-15231847+6972104</f>
        <v>-8259743</v>
      </c>
      <c r="C78" s="120"/>
      <c r="D78" s="157"/>
      <c r="E78" s="158"/>
      <c r="F78" s="159"/>
      <c r="G78" s="34"/>
      <c r="H78" s="28"/>
    </row>
    <row r="79" spans="1:21" ht="23.05" customHeight="1" x14ac:dyDescent="0.4">
      <c r="A79" s="222" t="s">
        <v>80</v>
      </c>
      <c r="B79" s="225">
        <f>-13017894+6972104</f>
        <v>-6045790</v>
      </c>
      <c r="C79" s="120"/>
      <c r="D79" s="157"/>
      <c r="E79" s="158"/>
      <c r="F79" s="159"/>
      <c r="G79" s="34"/>
      <c r="H79" s="28"/>
    </row>
    <row r="80" spans="1:21" ht="23.05" customHeight="1" x14ac:dyDescent="0.4">
      <c r="A80" s="222" t="s">
        <v>83</v>
      </c>
      <c r="B80" s="225">
        <f>-11492395+8304336</f>
        <v>-3188059</v>
      </c>
      <c r="C80" s="120"/>
      <c r="D80" s="157"/>
      <c r="E80" s="158"/>
      <c r="F80" s="159"/>
      <c r="G80" s="34"/>
      <c r="H80" s="28"/>
    </row>
    <row r="81" spans="1:10" ht="23.05" customHeight="1" x14ac:dyDescent="0.4">
      <c r="A81" s="222" t="s">
        <v>77</v>
      </c>
      <c r="B81" s="225">
        <v>-3612106</v>
      </c>
      <c r="C81" s="112"/>
      <c r="D81" s="157"/>
      <c r="E81" s="158"/>
      <c r="F81" s="159"/>
      <c r="G81" s="34"/>
      <c r="H81" s="28"/>
    </row>
    <row r="82" spans="1:10" ht="23.05" customHeight="1" x14ac:dyDescent="0.4">
      <c r="A82" s="222" t="s">
        <v>75</v>
      </c>
      <c r="B82" s="225">
        <v>-4103454</v>
      </c>
      <c r="C82" s="112"/>
      <c r="D82" s="157"/>
      <c r="E82" s="158"/>
      <c r="F82" s="159"/>
      <c r="G82" s="34"/>
      <c r="H82" s="28"/>
    </row>
    <row r="83" spans="1:10" ht="23.05" customHeight="1" x14ac:dyDescent="0.4">
      <c r="A83" s="222" t="s">
        <v>68</v>
      </c>
      <c r="B83" s="225">
        <v>-4372198</v>
      </c>
      <c r="C83" s="107"/>
      <c r="D83" s="160"/>
      <c r="E83" s="161"/>
      <c r="F83" s="161"/>
      <c r="G83" s="34"/>
      <c r="H83" s="28"/>
    </row>
    <row r="84" spans="1:10" ht="23.05" customHeight="1" x14ac:dyDescent="0.4">
      <c r="A84" s="222" t="s">
        <v>70</v>
      </c>
      <c r="B84" s="225">
        <v>-2751112</v>
      </c>
      <c r="C84" s="107"/>
      <c r="D84" s="107"/>
      <c r="E84" s="26"/>
      <c r="F84" s="85"/>
      <c r="G84" s="34"/>
      <c r="H84" s="28"/>
    </row>
    <row r="85" spans="1:10" ht="23.05" customHeight="1" x14ac:dyDescent="0.4">
      <c r="A85" s="222" t="s">
        <v>72</v>
      </c>
      <c r="B85" s="225">
        <v>-1174122</v>
      </c>
      <c r="C85" s="107"/>
      <c r="D85" s="157"/>
      <c r="E85" s="158"/>
      <c r="F85" s="159"/>
      <c r="G85" s="34"/>
      <c r="H85" s="28"/>
    </row>
    <row r="86" spans="1:10" ht="23.05" customHeight="1" x14ac:dyDescent="0.4">
      <c r="A86" s="222" t="s">
        <v>73</v>
      </c>
      <c r="B86" s="225">
        <v>-1461769</v>
      </c>
      <c r="C86" s="107"/>
      <c r="D86" s="157"/>
      <c r="E86" s="158"/>
      <c r="F86" s="159"/>
      <c r="G86" s="34"/>
      <c r="H86" s="28"/>
    </row>
    <row r="87" spans="1:10" ht="23.05" customHeight="1" x14ac:dyDescent="0.4">
      <c r="A87" s="222" t="s">
        <v>69</v>
      </c>
      <c r="B87" s="225">
        <v>-908615</v>
      </c>
      <c r="C87" s="107"/>
      <c r="D87" s="157"/>
      <c r="E87" s="158"/>
      <c r="F87" s="159"/>
      <c r="G87" s="34"/>
      <c r="H87" s="28"/>
    </row>
    <row r="88" spans="1:10" ht="23.05" customHeight="1" thickBot="1" x14ac:dyDescent="0.45">
      <c r="A88" s="223" t="s">
        <v>71</v>
      </c>
      <c r="B88" s="226">
        <v>1480482</v>
      </c>
      <c r="C88" s="107"/>
      <c r="D88" s="157"/>
      <c r="E88" s="158"/>
      <c r="F88" s="162"/>
      <c r="G88" s="34"/>
      <c r="H88" s="28"/>
    </row>
    <row r="89" spans="1:10" ht="23.05" customHeight="1" x14ac:dyDescent="0.4">
      <c r="A89" s="149"/>
      <c r="B89" s="140"/>
      <c r="C89" s="107"/>
      <c r="D89" s="107"/>
      <c r="F89" s="147" t="s">
        <v>117</v>
      </c>
      <c r="G89" s="34"/>
      <c r="H89" s="28"/>
    </row>
    <row r="90" spans="1:10" ht="20.05" customHeight="1" x14ac:dyDescent="0.5">
      <c r="A90" s="19" t="s">
        <v>141</v>
      </c>
      <c r="G90"/>
      <c r="H90" s="1"/>
      <c r="I90" s="1"/>
      <c r="J90" s="1"/>
    </row>
    <row r="91" spans="1:10" ht="20.05" customHeight="1" x14ac:dyDescent="0.4">
      <c r="A91" s="227" t="s">
        <v>159</v>
      </c>
      <c r="B91" s="14"/>
      <c r="C91" s="14"/>
      <c r="G91"/>
      <c r="H91" s="1"/>
      <c r="I91" s="1"/>
      <c r="J91" s="1"/>
    </row>
    <row r="92" spans="1:10" ht="20.05" customHeight="1" x14ac:dyDescent="0.4">
      <c r="A92" s="227" t="s">
        <v>160</v>
      </c>
      <c r="B92" s="14"/>
      <c r="C92" s="14"/>
      <c r="G92"/>
      <c r="H92" s="1"/>
      <c r="I92" s="1"/>
      <c r="J92" s="1"/>
    </row>
    <row r="93" spans="1:10" ht="20.05" customHeight="1" x14ac:dyDescent="0.4">
      <c r="A93" s="227" t="s">
        <v>161</v>
      </c>
      <c r="B93" s="14"/>
      <c r="C93" s="14"/>
      <c r="G93"/>
      <c r="H93" s="1"/>
      <c r="I93" s="1"/>
      <c r="J93" s="1"/>
    </row>
    <row r="94" spans="1:10" ht="20.05" customHeight="1" x14ac:dyDescent="0.4">
      <c r="A94" s="227" t="s">
        <v>162</v>
      </c>
      <c r="B94" s="14"/>
      <c r="C94" s="14"/>
      <c r="G94"/>
      <c r="H94" s="1"/>
      <c r="I94" s="1"/>
      <c r="J94" s="1"/>
    </row>
    <row r="95" spans="1:10" ht="20.05" customHeight="1" thickBot="1" x14ac:dyDescent="0.6">
      <c r="A95" s="122"/>
      <c r="G95"/>
      <c r="H95" s="1"/>
      <c r="I95" s="1"/>
      <c r="J95" s="1"/>
    </row>
    <row r="96" spans="1:10" ht="25" customHeight="1" thickBot="1" x14ac:dyDescent="0.45">
      <c r="A96" s="233" t="s">
        <v>182</v>
      </c>
      <c r="B96" s="298" t="s">
        <v>131</v>
      </c>
      <c r="C96" s="299" t="s">
        <v>132</v>
      </c>
      <c r="D96" s="300" t="s">
        <v>4</v>
      </c>
      <c r="E96" s="301" t="s">
        <v>35</v>
      </c>
      <c r="G96"/>
      <c r="H96" s="1"/>
      <c r="I96" s="1"/>
      <c r="J96" s="1"/>
    </row>
    <row r="97" spans="1:10" ht="25" customHeight="1" x14ac:dyDescent="0.4">
      <c r="A97" s="134" t="s">
        <v>110</v>
      </c>
      <c r="B97" s="30">
        <v>1912469</v>
      </c>
      <c r="C97" s="30">
        <v>1646280</v>
      </c>
      <c r="D97" s="303">
        <f>B97-C97</f>
        <v>266189</v>
      </c>
      <c r="E97" s="135">
        <f>D97/C97</f>
        <v>0.16169120684209248</v>
      </c>
      <c r="G97"/>
      <c r="H97" s="1"/>
      <c r="I97" s="1"/>
      <c r="J97" s="1"/>
    </row>
    <row r="98" spans="1:10" ht="25" customHeight="1" x14ac:dyDescent="0.4">
      <c r="A98" s="136" t="s">
        <v>122</v>
      </c>
      <c r="B98" s="30">
        <v>5057136</v>
      </c>
      <c r="C98" s="30">
        <v>8901211</v>
      </c>
      <c r="D98" s="303">
        <f t="shared" ref="D98:D99" si="15">B98-C98</f>
        <v>-3844075</v>
      </c>
      <c r="E98" s="135">
        <f t="shared" ref="E98:E99" si="16">D98/C98</f>
        <v>-0.43185977728199004</v>
      </c>
      <c r="G98"/>
      <c r="H98" s="1"/>
      <c r="I98" s="1"/>
      <c r="J98" s="1"/>
    </row>
    <row r="99" spans="1:10" ht="25" customHeight="1" thickBot="1" x14ac:dyDescent="0.45">
      <c r="A99" s="137" t="s">
        <v>111</v>
      </c>
      <c r="B99" s="145">
        <f t="shared" ref="B99:C99" si="17">+B97+B98</f>
        <v>6969605</v>
      </c>
      <c r="C99" s="146">
        <f t="shared" si="17"/>
        <v>10547491</v>
      </c>
      <c r="D99" s="304">
        <f t="shared" si="15"/>
        <v>-3577886</v>
      </c>
      <c r="E99" s="138">
        <f t="shared" si="16"/>
        <v>-0.33921678624802809</v>
      </c>
      <c r="G99"/>
      <c r="H99" s="1"/>
      <c r="I99" s="1"/>
      <c r="J99" s="1"/>
    </row>
    <row r="100" spans="1:10" ht="9.5500000000000007" customHeight="1" x14ac:dyDescent="0.4">
      <c r="A100" s="164"/>
      <c r="B100" s="165"/>
      <c r="C100" s="165"/>
      <c r="D100" s="176"/>
      <c r="E100" s="166"/>
      <c r="G100"/>
      <c r="H100" s="1"/>
      <c r="I100" s="1"/>
      <c r="J100" s="1"/>
    </row>
    <row r="101" spans="1:10" ht="19" customHeight="1" x14ac:dyDescent="0.4">
      <c r="A101" s="181" t="s">
        <v>123</v>
      </c>
      <c r="B101" s="182"/>
      <c r="C101" s="182"/>
      <c r="D101" s="183"/>
      <c r="E101" s="184"/>
      <c r="G101"/>
      <c r="H101" s="1"/>
      <c r="I101" s="1"/>
      <c r="J101" s="1"/>
    </row>
    <row r="102" spans="1:10" ht="12" customHeight="1" thickBot="1" x14ac:dyDescent="0.55000000000000004">
      <c r="A102" s="19"/>
      <c r="B102" s="185"/>
      <c r="C102" s="186"/>
      <c r="D102" s="186"/>
      <c r="E102" s="187"/>
      <c r="G102"/>
      <c r="H102" s="1"/>
      <c r="I102" s="1"/>
      <c r="J102" s="1"/>
    </row>
    <row r="103" spans="1:10" ht="22.3" customHeight="1" thickBot="1" x14ac:dyDescent="0.55000000000000004">
      <c r="A103" s="19"/>
      <c r="B103" s="243" t="s">
        <v>128</v>
      </c>
      <c r="C103" s="302" t="s">
        <v>44</v>
      </c>
      <c r="D103" s="302" t="s">
        <v>125</v>
      </c>
      <c r="E103" s="302" t="s">
        <v>126</v>
      </c>
      <c r="F103" s="297" t="s">
        <v>127</v>
      </c>
      <c r="G103"/>
      <c r="H103" s="1"/>
      <c r="I103" s="1"/>
      <c r="J103" s="1"/>
    </row>
    <row r="104" spans="1:10" ht="24.9" customHeight="1" thickBot="1" x14ac:dyDescent="0.55000000000000004">
      <c r="A104" s="253" t="s">
        <v>163</v>
      </c>
      <c r="B104" s="236"/>
      <c r="C104" s="237"/>
      <c r="D104" s="254">
        <v>491049</v>
      </c>
      <c r="E104" s="254">
        <f>1012244.94+1694514.19</f>
        <v>2706759.13</v>
      </c>
      <c r="F104" s="238"/>
      <c r="G104"/>
      <c r="H104" s="1"/>
      <c r="I104" s="1"/>
      <c r="J104" s="1"/>
    </row>
    <row r="105" spans="1:10" ht="25.75" customHeight="1" thickBot="1" x14ac:dyDescent="0.45">
      <c r="A105" s="239" t="s">
        <v>131</v>
      </c>
      <c r="B105" s="249">
        <f>SUM(C105:F105)</f>
        <v>6969604.6200000001</v>
      </c>
      <c r="C105" s="244">
        <v>1912469</v>
      </c>
      <c r="D105" s="244">
        <f>3002108.67+0.84</f>
        <v>3002109.51</v>
      </c>
      <c r="E105" s="244">
        <v>1684708</v>
      </c>
      <c r="F105" s="245">
        <v>370318.11</v>
      </c>
      <c r="G105"/>
      <c r="H105" s="1"/>
      <c r="I105" s="1"/>
      <c r="J105" s="1"/>
    </row>
    <row r="106" spans="1:10" ht="25" customHeight="1" x14ac:dyDescent="0.4">
      <c r="A106" s="240" t="s">
        <v>79</v>
      </c>
      <c r="B106" s="250">
        <v>8504769</v>
      </c>
      <c r="C106" s="246">
        <f>B106-D106-E106-F106</f>
        <v>3430231.4199999995</v>
      </c>
      <c r="D106" s="246">
        <f>3020742.43-526.79</f>
        <v>3020215.64</v>
      </c>
      <c r="E106" s="246">
        <v>1684003.83</v>
      </c>
      <c r="F106" s="245">
        <v>370318.11</v>
      </c>
      <c r="G106"/>
      <c r="H106" s="1"/>
      <c r="I106" s="1"/>
      <c r="J106" s="1"/>
    </row>
    <row r="107" spans="1:10" ht="25" customHeight="1" x14ac:dyDescent="0.4">
      <c r="A107" s="241" t="s">
        <v>85</v>
      </c>
      <c r="B107" s="251">
        <f>718264+4922704</f>
        <v>5640968</v>
      </c>
      <c r="C107" s="30">
        <f t="shared" ref="C107:C118" si="18">B107-D107-E107-F107</f>
        <v>718263.7699999999</v>
      </c>
      <c r="D107" s="30">
        <v>3039983.27</v>
      </c>
      <c r="E107" s="30">
        <v>1512402.85</v>
      </c>
      <c r="F107" s="200">
        <v>370318.11</v>
      </c>
      <c r="G107"/>
      <c r="H107" s="1"/>
      <c r="I107" s="1"/>
      <c r="J107" s="1"/>
    </row>
    <row r="108" spans="1:10" ht="25" customHeight="1" x14ac:dyDescent="0.4">
      <c r="A108" s="241" t="s">
        <v>84</v>
      </c>
      <c r="B108" s="251">
        <f>1246695+8871113</f>
        <v>10117808</v>
      </c>
      <c r="C108" s="30">
        <f t="shared" si="18"/>
        <v>1271050.8799999999</v>
      </c>
      <c r="D108" s="30">
        <v>6005525.8300000001</v>
      </c>
      <c r="E108" s="30">
        <v>2512929.1800000002</v>
      </c>
      <c r="F108" s="200">
        <v>328302.11</v>
      </c>
      <c r="G108"/>
      <c r="H108" s="1"/>
      <c r="I108" s="1"/>
      <c r="J108" s="1"/>
    </row>
    <row r="109" spans="1:10" ht="25" customHeight="1" x14ac:dyDescent="0.4">
      <c r="A109" s="241" t="s">
        <v>80</v>
      </c>
      <c r="B109" s="251">
        <v>10777551</v>
      </c>
      <c r="C109" s="30">
        <f t="shared" si="18"/>
        <v>1906259.0000000005</v>
      </c>
      <c r="D109" s="30">
        <f>3464746+2474340.13</f>
        <v>5939086.1299999999</v>
      </c>
      <c r="E109" s="30">
        <v>2603903.7599999998</v>
      </c>
      <c r="F109" s="200">
        <v>328302.11</v>
      </c>
      <c r="G109"/>
      <c r="H109" s="1"/>
      <c r="I109" s="1"/>
      <c r="J109" s="1"/>
    </row>
    <row r="110" spans="1:10" ht="25" customHeight="1" x14ac:dyDescent="0.4">
      <c r="A110" s="241" t="s">
        <v>83</v>
      </c>
      <c r="B110" s="251">
        <f>975568+9344249</f>
        <v>10319817</v>
      </c>
      <c r="C110" s="30">
        <f t="shared" si="18"/>
        <v>975568.5</v>
      </c>
      <c r="D110" s="30">
        <v>5881580.4199999999</v>
      </c>
      <c r="E110" s="30">
        <v>3134366.08</v>
      </c>
      <c r="F110" s="200">
        <v>328302</v>
      </c>
      <c r="G110"/>
      <c r="H110" s="1"/>
      <c r="I110" s="1"/>
      <c r="J110" s="1"/>
    </row>
    <row r="111" spans="1:10" ht="25" customHeight="1" x14ac:dyDescent="0.4">
      <c r="A111" s="241" t="s">
        <v>77</v>
      </c>
      <c r="B111" s="251">
        <f>13291807+8381621</f>
        <v>21673428</v>
      </c>
      <c r="C111" s="30">
        <f t="shared" si="18"/>
        <v>13291806.52</v>
      </c>
      <c r="D111" s="30">
        <v>8113240.3700000001</v>
      </c>
      <c r="E111" s="30">
        <v>0</v>
      </c>
      <c r="F111" s="200">
        <v>268381.11</v>
      </c>
      <c r="G111"/>
      <c r="H111" s="1"/>
      <c r="I111" s="1"/>
      <c r="J111" s="1"/>
    </row>
    <row r="112" spans="1:10" ht="25" customHeight="1" x14ac:dyDescent="0.4">
      <c r="A112" s="241" t="s">
        <v>75</v>
      </c>
      <c r="B112" s="251">
        <f>3895957+9584958</f>
        <v>13480915</v>
      </c>
      <c r="C112" s="30">
        <f t="shared" si="18"/>
        <v>3895957.4400000009</v>
      </c>
      <c r="D112" s="30">
        <v>9316576.4499999993</v>
      </c>
      <c r="E112" s="30">
        <v>0</v>
      </c>
      <c r="F112" s="200">
        <v>268381.11</v>
      </c>
      <c r="G112"/>
      <c r="H112" s="1"/>
      <c r="I112" s="1"/>
      <c r="J112" s="1"/>
    </row>
    <row r="113" spans="1:11" ht="25" customHeight="1" x14ac:dyDescent="0.4">
      <c r="A113" s="241" t="s">
        <v>68</v>
      </c>
      <c r="B113" s="251">
        <f>3029089+7222778</f>
        <v>10251867</v>
      </c>
      <c r="C113" s="30">
        <f t="shared" si="18"/>
        <v>1829089.1300000004</v>
      </c>
      <c r="D113" s="30">
        <f>6954396.76+1200000</f>
        <v>8154396.7599999998</v>
      </c>
      <c r="E113" s="30">
        <v>0</v>
      </c>
      <c r="F113" s="200">
        <v>268381.11</v>
      </c>
      <c r="G113"/>
      <c r="H113" s="1"/>
      <c r="I113" s="1"/>
      <c r="J113" s="1"/>
    </row>
    <row r="114" spans="1:11" ht="25" customHeight="1" x14ac:dyDescent="0.4">
      <c r="A114" s="241" t="s">
        <v>70</v>
      </c>
      <c r="B114" s="251">
        <f>1178661+8177379</f>
        <v>9356040</v>
      </c>
      <c r="C114" s="30">
        <f t="shared" si="18"/>
        <v>1178660.8700000006</v>
      </c>
      <c r="D114" s="30">
        <v>7908998.0199999996</v>
      </c>
      <c r="E114" s="30">
        <v>0</v>
      </c>
      <c r="F114" s="200">
        <v>268381.11</v>
      </c>
      <c r="G114"/>
      <c r="H114" s="1"/>
      <c r="I114" s="1"/>
      <c r="J114" s="1"/>
    </row>
    <row r="115" spans="1:11" ht="25" customHeight="1" x14ac:dyDescent="0.4">
      <c r="A115" s="241" t="s">
        <v>72</v>
      </c>
      <c r="B115" s="251">
        <f>1185696+13273299</f>
        <v>14458995</v>
      </c>
      <c r="C115" s="30">
        <f t="shared" si="18"/>
        <v>1185696.4099999997</v>
      </c>
      <c r="D115" s="30">
        <v>13044706.48</v>
      </c>
      <c r="E115" s="30">
        <v>0</v>
      </c>
      <c r="F115" s="200">
        <v>228592.11</v>
      </c>
      <c r="G115"/>
      <c r="H115" s="1"/>
      <c r="I115" s="1"/>
      <c r="J115" s="1"/>
    </row>
    <row r="116" spans="1:11" ht="25" customHeight="1" x14ac:dyDescent="0.4">
      <c r="A116" s="241" t="s">
        <v>73</v>
      </c>
      <c r="B116" s="251">
        <f>1001606+13108647</f>
        <v>14110253</v>
      </c>
      <c r="C116" s="30">
        <f t="shared" si="18"/>
        <v>1001606.1200000005</v>
      </c>
      <c r="D116" s="30">
        <v>12880054.77</v>
      </c>
      <c r="E116" s="30">
        <v>0</v>
      </c>
      <c r="F116" s="200">
        <v>228592.11</v>
      </c>
      <c r="G116"/>
      <c r="H116" s="1"/>
      <c r="I116" s="1"/>
      <c r="J116" s="1"/>
    </row>
    <row r="117" spans="1:11" ht="25" customHeight="1" x14ac:dyDescent="0.4">
      <c r="A117" s="241" t="s">
        <v>69</v>
      </c>
      <c r="B117" s="251">
        <f>1382834+12432371</f>
        <v>13815205</v>
      </c>
      <c r="C117" s="30">
        <f t="shared" si="18"/>
        <v>1382833.65</v>
      </c>
      <c r="D117" s="30">
        <v>12203779.24</v>
      </c>
      <c r="E117" s="30">
        <v>0</v>
      </c>
      <c r="F117" s="200">
        <v>228592.11</v>
      </c>
      <c r="G117"/>
      <c r="H117" s="1"/>
      <c r="I117" s="1"/>
      <c r="J117" s="1"/>
    </row>
    <row r="118" spans="1:11" ht="25" customHeight="1" thickBot="1" x14ac:dyDescent="0.45">
      <c r="A118" s="242" t="s">
        <v>71</v>
      </c>
      <c r="B118" s="252">
        <f>559065+14154503</f>
        <v>14713568</v>
      </c>
      <c r="C118" s="202">
        <f t="shared" si="18"/>
        <v>559065.07999999949</v>
      </c>
      <c r="D118" s="202">
        <v>13925910.810000001</v>
      </c>
      <c r="E118" s="202">
        <v>0</v>
      </c>
      <c r="F118" s="247">
        <v>228592.11</v>
      </c>
      <c r="G118"/>
      <c r="H118" s="1"/>
      <c r="I118" s="1"/>
      <c r="J118" s="1"/>
    </row>
    <row r="119" spans="1:11" ht="25" customHeight="1" x14ac:dyDescent="0.5">
      <c r="A119" s="19"/>
      <c r="B119" s="117"/>
      <c r="C119" s="4"/>
      <c r="D119" s="4"/>
      <c r="G119"/>
      <c r="H119" s="1"/>
      <c r="I119" s="1"/>
      <c r="J119" s="1"/>
    </row>
    <row r="120" spans="1:11" ht="25" customHeight="1" thickBot="1" x14ac:dyDescent="0.45">
      <c r="A120" s="232" t="s">
        <v>183</v>
      </c>
      <c r="B120" s="117"/>
      <c r="C120" s="4"/>
      <c r="D120" s="4"/>
      <c r="G120"/>
      <c r="H120" s="1"/>
      <c r="I120" s="1"/>
      <c r="J120" s="1"/>
    </row>
    <row r="121" spans="1:11" ht="20.149999999999999" customHeight="1" thickBot="1" x14ac:dyDescent="0.45">
      <c r="A121" s="232"/>
      <c r="B121" s="305" t="s">
        <v>131</v>
      </c>
      <c r="C121" s="280" t="s">
        <v>163</v>
      </c>
      <c r="D121" s="4"/>
      <c r="G121"/>
      <c r="H121" s="1"/>
      <c r="I121" s="1"/>
      <c r="J121" s="1"/>
    </row>
    <row r="122" spans="1:11" ht="25" customHeight="1" x14ac:dyDescent="0.4">
      <c r="A122" s="265" t="s">
        <v>133</v>
      </c>
      <c r="B122" s="246">
        <v>51844854</v>
      </c>
      <c r="C122" s="281">
        <v>58290159</v>
      </c>
      <c r="D122" s="4"/>
      <c r="G122"/>
      <c r="H122" s="1"/>
      <c r="I122" s="1"/>
      <c r="J122" s="1"/>
    </row>
    <row r="123" spans="1:11" ht="25" customHeight="1" x14ac:dyDescent="0.4">
      <c r="A123" s="266" t="s">
        <v>188</v>
      </c>
      <c r="B123" s="30">
        <v>7000000</v>
      </c>
      <c r="C123" s="282">
        <v>6000000</v>
      </c>
      <c r="D123" s="4"/>
      <c r="G123"/>
      <c r="H123" s="1"/>
      <c r="I123" s="1"/>
      <c r="J123" s="1"/>
    </row>
    <row r="124" spans="1:11" ht="25" customHeight="1" thickBot="1" x14ac:dyDescent="0.55000000000000004">
      <c r="A124" s="248" t="s">
        <v>165</v>
      </c>
      <c r="B124" s="267">
        <f>SUM(B122:B123)</f>
        <v>58844854</v>
      </c>
      <c r="C124" s="283">
        <f>SUM(C122:C123)</f>
        <v>64290159</v>
      </c>
      <c r="D124" s="4"/>
      <c r="G124"/>
      <c r="H124" s="1"/>
      <c r="I124" s="1"/>
      <c r="J124" s="1"/>
    </row>
    <row r="125" spans="1:11" ht="25" customHeight="1" x14ac:dyDescent="0.5">
      <c r="A125" s="19"/>
      <c r="B125" s="117"/>
      <c r="C125" s="117"/>
      <c r="D125" s="4"/>
      <c r="G125"/>
      <c r="H125" s="1"/>
      <c r="I125" s="1"/>
      <c r="J125" s="1"/>
    </row>
    <row r="126" spans="1:11" ht="25" customHeight="1" x14ac:dyDescent="0.4">
      <c r="A126" s="231" t="s">
        <v>184</v>
      </c>
      <c r="B126" s="10"/>
      <c r="C126" s="10"/>
      <c r="D126" s="10"/>
      <c r="E126" s="16"/>
      <c r="G126"/>
      <c r="K126" s="13"/>
    </row>
    <row r="127" spans="1:11" ht="25" customHeight="1" x14ac:dyDescent="0.4">
      <c r="A127" s="27" t="s">
        <v>166</v>
      </c>
      <c r="B127" s="27"/>
      <c r="C127" s="27"/>
      <c r="D127" s="10"/>
      <c r="E127" s="16"/>
      <c r="G127"/>
      <c r="K127" s="13"/>
    </row>
    <row r="128" spans="1:11" ht="25" customHeight="1" x14ac:dyDescent="0.4">
      <c r="A128" s="27" t="s">
        <v>196</v>
      </c>
      <c r="B128" s="27"/>
      <c r="C128" s="27"/>
      <c r="D128" s="10"/>
      <c r="E128" s="16"/>
      <c r="F128" s="147" t="s">
        <v>178</v>
      </c>
      <c r="G128"/>
      <c r="K128" s="13"/>
    </row>
    <row r="129" spans="1:11" ht="24" customHeight="1" x14ac:dyDescent="0.4">
      <c r="A129" s="27"/>
      <c r="B129" s="27"/>
      <c r="C129" s="27"/>
      <c r="D129" s="10"/>
      <c r="E129" s="16"/>
      <c r="G129"/>
      <c r="K129" s="13"/>
    </row>
    <row r="130" spans="1:11" ht="20.05" customHeight="1" x14ac:dyDescent="0.4">
      <c r="A130" s="227" t="s">
        <v>190</v>
      </c>
      <c r="B130" s="14"/>
      <c r="C130" s="27"/>
      <c r="D130" s="10"/>
      <c r="E130" s="16"/>
      <c r="G130"/>
      <c r="K130" s="13"/>
    </row>
    <row r="131" spans="1:11" ht="20.05" customHeight="1" x14ac:dyDescent="0.4">
      <c r="A131" s="28" t="s">
        <v>185</v>
      </c>
      <c r="B131" s="28"/>
      <c r="C131" s="28"/>
      <c r="D131" s="28"/>
      <c r="E131" s="28"/>
      <c r="G131"/>
      <c r="K131" s="13"/>
    </row>
    <row r="132" spans="1:11" ht="20.05" customHeight="1" x14ac:dyDescent="0.4">
      <c r="A132" s="27" t="s">
        <v>171</v>
      </c>
      <c r="B132" s="27"/>
      <c r="C132" s="27"/>
      <c r="D132" s="10"/>
      <c r="E132" s="16"/>
      <c r="G132"/>
      <c r="K132" s="13"/>
    </row>
    <row r="133" spans="1:11" ht="12" customHeight="1" x14ac:dyDescent="0.4">
      <c r="A133" s="27"/>
      <c r="B133" s="27"/>
      <c r="C133" s="27"/>
      <c r="D133" s="10"/>
      <c r="E133" s="16"/>
      <c r="G133"/>
      <c r="K133" s="13"/>
    </row>
    <row r="134" spans="1:11" ht="20.05" customHeight="1" x14ac:dyDescent="0.4">
      <c r="A134" s="256" t="s">
        <v>167</v>
      </c>
      <c r="B134" s="235">
        <v>650000</v>
      </c>
      <c r="C134" s="27"/>
      <c r="D134" s="10"/>
      <c r="E134" s="16"/>
      <c r="G134"/>
      <c r="K134" s="13"/>
    </row>
    <row r="135" spans="1:11" ht="20.05" customHeight="1" x14ac:dyDescent="0.4">
      <c r="A135" s="256" t="s">
        <v>193</v>
      </c>
      <c r="B135" s="235">
        <v>126906</v>
      </c>
      <c r="C135" s="27"/>
      <c r="D135" s="10"/>
      <c r="E135" s="16"/>
      <c r="G135"/>
      <c r="K135" s="13"/>
    </row>
    <row r="136" spans="1:11" ht="20.05" customHeight="1" x14ac:dyDescent="0.4">
      <c r="A136" s="256" t="s">
        <v>186</v>
      </c>
      <c r="B136" s="235">
        <v>334374</v>
      </c>
      <c r="C136" s="27"/>
      <c r="D136" s="10"/>
      <c r="E136" s="16"/>
      <c r="G136"/>
      <c r="K136" s="13"/>
    </row>
    <row r="137" spans="1:11" ht="20.05" customHeight="1" x14ac:dyDescent="0.4">
      <c r="A137" s="256" t="s">
        <v>187</v>
      </c>
      <c r="B137" s="235">
        <v>140002</v>
      </c>
      <c r="C137" s="27"/>
      <c r="D137" s="10"/>
      <c r="E137" s="16"/>
      <c r="G137"/>
      <c r="K137" s="13"/>
    </row>
    <row r="138" spans="1:11" ht="20.05" customHeight="1" x14ac:dyDescent="0.4">
      <c r="A138" s="257" t="s">
        <v>168</v>
      </c>
      <c r="B138" s="116">
        <v>239977</v>
      </c>
      <c r="C138" s="10"/>
      <c r="D138" s="10"/>
      <c r="E138" s="16"/>
    </row>
    <row r="139" spans="1:11" ht="20.05" customHeight="1" x14ac:dyDescent="0.4">
      <c r="A139" s="256" t="s">
        <v>169</v>
      </c>
      <c r="B139" s="235">
        <v>65479.94</v>
      </c>
      <c r="C139" s="27"/>
      <c r="D139" s="10"/>
      <c r="E139" s="16"/>
      <c r="G139"/>
      <c r="K139" s="13"/>
    </row>
    <row r="140" spans="1:11" ht="20.05" customHeight="1" x14ac:dyDescent="0.4">
      <c r="A140" s="256" t="s">
        <v>170</v>
      </c>
      <c r="B140" s="235">
        <v>10431.280000000001</v>
      </c>
      <c r="C140" s="27"/>
      <c r="D140" s="10"/>
      <c r="E140" s="16"/>
      <c r="G140"/>
      <c r="K140" s="13"/>
    </row>
    <row r="141" spans="1:11" ht="22.75" customHeight="1" thickBot="1" x14ac:dyDescent="0.45">
      <c r="A141" s="271" t="s">
        <v>173</v>
      </c>
      <c r="B141" s="255">
        <f>SUM(B134:B140)</f>
        <v>1567170.22</v>
      </c>
    </row>
    <row r="142" spans="1:11" ht="14.15" customHeight="1" x14ac:dyDescent="0.5">
      <c r="A142" s="19"/>
      <c r="F142" s="148"/>
    </row>
    <row r="143" spans="1:11" ht="20.05" customHeight="1" x14ac:dyDescent="0.5">
      <c r="A143" s="19" t="s">
        <v>142</v>
      </c>
      <c r="B143" s="16"/>
      <c r="C143" s="16"/>
      <c r="F143" s="84"/>
    </row>
    <row r="144" spans="1:11" ht="9" customHeight="1" thickBot="1" x14ac:dyDescent="0.5">
      <c r="A144" s="16"/>
      <c r="B144" s="16"/>
      <c r="C144" s="16"/>
      <c r="F144" s="84"/>
    </row>
    <row r="145" spans="1:6" ht="20.05" customHeight="1" thickBot="1" x14ac:dyDescent="0.5">
      <c r="A145" s="273" t="s">
        <v>90</v>
      </c>
      <c r="B145" s="169" t="s">
        <v>131</v>
      </c>
      <c r="C145" s="169" t="s">
        <v>132</v>
      </c>
      <c r="F145" s="84"/>
    </row>
    <row r="146" spans="1:6" ht="20.05" customHeight="1" x14ac:dyDescent="0.45">
      <c r="A146" s="274" t="s">
        <v>91</v>
      </c>
      <c r="B146" s="170">
        <v>1912469</v>
      </c>
      <c r="C146" s="170">
        <v>1646280</v>
      </c>
      <c r="F146" s="84"/>
    </row>
    <row r="147" spans="1:6" ht="20.05" customHeight="1" x14ac:dyDescent="0.45">
      <c r="A147" s="208" t="s">
        <v>92</v>
      </c>
      <c r="B147" s="170">
        <v>5057136</v>
      </c>
      <c r="C147" s="170">
        <v>8901211</v>
      </c>
      <c r="F147" s="84"/>
    </row>
    <row r="148" spans="1:6" ht="20.05" customHeight="1" x14ac:dyDescent="0.45">
      <c r="A148" s="208" t="s">
        <v>93</v>
      </c>
      <c r="B148" s="171">
        <f>B23+B24</f>
        <v>58844854</v>
      </c>
      <c r="C148" s="171">
        <f>D23+D24</f>
        <v>51361208</v>
      </c>
      <c r="F148" s="84"/>
    </row>
    <row r="149" spans="1:6" ht="20.05" customHeight="1" x14ac:dyDescent="0.45">
      <c r="A149" s="275" t="s">
        <v>94</v>
      </c>
      <c r="B149" s="258">
        <f>SUM(B146:B148)</f>
        <v>65814459</v>
      </c>
      <c r="C149" s="258">
        <f>SUM(C146:C148)</f>
        <v>61908699</v>
      </c>
      <c r="F149" s="84"/>
    </row>
    <row r="150" spans="1:6" ht="20.05" customHeight="1" x14ac:dyDescent="0.45">
      <c r="A150" s="208" t="s">
        <v>95</v>
      </c>
      <c r="B150" s="272">
        <f>1069108+4026641</f>
        <v>5095749</v>
      </c>
      <c r="C150" s="272">
        <f>674456+3809204</f>
        <v>4483660</v>
      </c>
      <c r="F150" s="84"/>
    </row>
    <row r="151" spans="1:6" ht="20.05" customHeight="1" x14ac:dyDescent="0.45">
      <c r="A151" s="208" t="s">
        <v>96</v>
      </c>
      <c r="B151" s="173">
        <v>514700</v>
      </c>
      <c r="C151" s="173">
        <v>514700</v>
      </c>
      <c r="F151" s="84"/>
    </row>
    <row r="152" spans="1:6" ht="20.05" customHeight="1" x14ac:dyDescent="0.45">
      <c r="A152" s="208" t="s">
        <v>97</v>
      </c>
      <c r="B152" s="173">
        <v>25617734</v>
      </c>
      <c r="C152" s="173">
        <v>27258782</v>
      </c>
      <c r="F152" s="84"/>
    </row>
    <row r="153" spans="1:6" ht="20.05" customHeight="1" x14ac:dyDescent="0.45">
      <c r="A153" s="275" t="s">
        <v>98</v>
      </c>
      <c r="B153" s="258">
        <f>SUM(B150:B152)</f>
        <v>31228183</v>
      </c>
      <c r="C153" s="258">
        <f>SUM(C150:C152)</f>
        <v>32257142</v>
      </c>
      <c r="F153" s="84"/>
    </row>
    <row r="154" spans="1:6" ht="20.05" customHeight="1" thickBot="1" x14ac:dyDescent="0.5">
      <c r="A154" s="275" t="s">
        <v>99</v>
      </c>
      <c r="B154" s="259">
        <f>B149-B153</f>
        <v>34586276</v>
      </c>
      <c r="C154" s="259">
        <f>C149-C153</f>
        <v>29651557</v>
      </c>
      <c r="F154" s="84"/>
    </row>
    <row r="155" spans="1:6" ht="20.05" customHeight="1" x14ac:dyDescent="0.45">
      <c r="A155" s="208" t="s">
        <v>100</v>
      </c>
      <c r="B155" s="171">
        <v>900000</v>
      </c>
      <c r="C155" s="171">
        <v>1100000</v>
      </c>
      <c r="F155" s="84"/>
    </row>
    <row r="156" spans="1:6" ht="20.05" customHeight="1" x14ac:dyDescent="0.45">
      <c r="A156" s="208" t="s">
        <v>192</v>
      </c>
      <c r="B156" s="173">
        <v>0</v>
      </c>
      <c r="C156" s="173">
        <v>900000</v>
      </c>
      <c r="F156" s="84"/>
    </row>
    <row r="157" spans="1:6" ht="20.05" customHeight="1" x14ac:dyDescent="0.45">
      <c r="A157" s="208" t="s">
        <v>198</v>
      </c>
      <c r="B157" s="173">
        <f>20710807+1560234</f>
        <v>22271041</v>
      </c>
      <c r="C157" s="173">
        <v>0</v>
      </c>
      <c r="F157" s="84"/>
    </row>
    <row r="158" spans="1:6" ht="20.05" customHeight="1" x14ac:dyDescent="0.45">
      <c r="A158" s="208" t="s">
        <v>191</v>
      </c>
      <c r="B158" s="172">
        <v>650000</v>
      </c>
      <c r="C158" s="172">
        <v>0</v>
      </c>
      <c r="F158" s="84"/>
    </row>
    <row r="159" spans="1:6" ht="20.05" customHeight="1" x14ac:dyDescent="0.45">
      <c r="A159" s="208" t="s">
        <v>101</v>
      </c>
      <c r="B159" s="171">
        <v>1500000</v>
      </c>
      <c r="C159" s="171">
        <v>1000000</v>
      </c>
      <c r="F159" s="84"/>
    </row>
    <row r="160" spans="1:6" ht="20.05" customHeight="1" x14ac:dyDescent="0.45">
      <c r="A160" s="275" t="s">
        <v>102</v>
      </c>
      <c r="B160" s="260">
        <f>SUM(B155:B159)</f>
        <v>25321041</v>
      </c>
      <c r="C160" s="260">
        <f>SUM(C155:C159)</f>
        <v>3000000</v>
      </c>
      <c r="F160" s="84"/>
    </row>
    <row r="161" spans="1:6" ht="11.6" customHeight="1" x14ac:dyDescent="0.45">
      <c r="A161" s="208"/>
      <c r="B161" s="174"/>
      <c r="C161" s="174"/>
      <c r="F161" s="84"/>
    </row>
    <row r="162" spans="1:6" ht="20.05" customHeight="1" x14ac:dyDescent="0.45">
      <c r="A162" s="276" t="s">
        <v>103</v>
      </c>
      <c r="B162" s="261">
        <f>B154/B160</f>
        <v>1.3659105089715704</v>
      </c>
      <c r="C162" s="261">
        <f>C154/C160</f>
        <v>9.8838523333333335</v>
      </c>
      <c r="F162" s="84"/>
    </row>
    <row r="163" spans="1:6" ht="20.05" customHeight="1" thickBot="1" x14ac:dyDescent="0.5">
      <c r="A163" s="277" t="s">
        <v>104</v>
      </c>
      <c r="B163" s="175" t="s">
        <v>105</v>
      </c>
      <c r="C163" s="175" t="s">
        <v>105</v>
      </c>
      <c r="F163" s="84"/>
    </row>
    <row r="164" spans="1:6" ht="7.3" customHeight="1" x14ac:dyDescent="0.5">
      <c r="A164" s="19"/>
      <c r="F164" s="84"/>
    </row>
    <row r="165" spans="1:6" ht="12" customHeight="1" thickBot="1" x14ac:dyDescent="0.5">
      <c r="A165" s="123"/>
      <c r="B165" s="16"/>
      <c r="C165" s="16"/>
      <c r="D165" s="16"/>
      <c r="E165" s="16"/>
      <c r="F165" s="84"/>
    </row>
    <row r="166" spans="1:6" ht="20.05" customHeight="1" x14ac:dyDescent="0.45">
      <c r="A166" s="124" t="s">
        <v>131</v>
      </c>
      <c r="B166" s="306" t="s">
        <v>13</v>
      </c>
      <c r="C166" s="301" t="s">
        <v>14</v>
      </c>
      <c r="D166" s="28"/>
      <c r="E166" s="28"/>
      <c r="F166" s="84"/>
    </row>
    <row r="167" spans="1:6" ht="20.05" customHeight="1" thickBot="1" x14ac:dyDescent="0.5">
      <c r="A167" s="125" t="s">
        <v>15</v>
      </c>
      <c r="B167" s="126">
        <v>1.37</v>
      </c>
      <c r="C167" s="127" t="s">
        <v>16</v>
      </c>
      <c r="D167" s="16"/>
      <c r="E167" s="16"/>
      <c r="F167" s="84"/>
    </row>
    <row r="168" spans="1:6" ht="20.05" customHeight="1" thickBot="1" x14ac:dyDescent="0.5">
      <c r="A168" s="16"/>
      <c r="B168" s="16"/>
      <c r="C168" s="16"/>
      <c r="D168" s="16"/>
      <c r="E168" s="16"/>
      <c r="F168" s="84"/>
    </row>
    <row r="169" spans="1:6" ht="20.05" customHeight="1" x14ac:dyDescent="0.45">
      <c r="A169" s="207" t="s">
        <v>131</v>
      </c>
      <c r="B169" s="206">
        <v>1.37</v>
      </c>
      <c r="C169" s="16"/>
      <c r="D169" s="16"/>
      <c r="E169" s="16"/>
      <c r="F169" s="84"/>
    </row>
    <row r="170" spans="1:6" ht="20.05" customHeight="1" x14ac:dyDescent="0.45">
      <c r="A170" s="128" t="s">
        <v>85</v>
      </c>
      <c r="B170" s="129">
        <v>11.06</v>
      </c>
      <c r="C170" s="16"/>
      <c r="D170" s="16"/>
      <c r="E170" s="16"/>
      <c r="F170" s="84"/>
    </row>
    <row r="171" spans="1:6" ht="20.05" customHeight="1" x14ac:dyDescent="0.45">
      <c r="A171" s="128" t="s">
        <v>83</v>
      </c>
      <c r="B171" s="129">
        <v>17.93</v>
      </c>
      <c r="C171" s="208"/>
      <c r="D171" s="16"/>
      <c r="E171" s="16"/>
      <c r="F171" s="84"/>
    </row>
    <row r="172" spans="1:6" ht="20.05" customHeight="1" x14ac:dyDescent="0.45">
      <c r="A172" s="128" t="s">
        <v>70</v>
      </c>
      <c r="B172" s="129">
        <v>10.81</v>
      </c>
      <c r="C172" s="16"/>
      <c r="D172" s="16"/>
      <c r="E172" s="16"/>
      <c r="F172" s="84"/>
    </row>
    <row r="173" spans="1:6" ht="20.05" customHeight="1" x14ac:dyDescent="0.45">
      <c r="A173" s="128" t="s">
        <v>71</v>
      </c>
      <c r="B173" s="129">
        <v>6.5</v>
      </c>
      <c r="C173" s="16"/>
      <c r="D173" s="16"/>
      <c r="E173" s="16"/>
      <c r="F173" s="84"/>
    </row>
    <row r="174" spans="1:6" ht="20.05" customHeight="1" x14ac:dyDescent="0.45">
      <c r="A174" s="128" t="s">
        <v>86</v>
      </c>
      <c r="B174" s="129">
        <v>5.81</v>
      </c>
      <c r="C174" s="16"/>
      <c r="D174" s="16"/>
      <c r="E174" s="16"/>
      <c r="F174" s="84"/>
    </row>
    <row r="175" spans="1:6" ht="20.05" customHeight="1" x14ac:dyDescent="0.45">
      <c r="A175" s="128" t="s">
        <v>87</v>
      </c>
      <c r="B175" s="129">
        <v>4.43</v>
      </c>
      <c r="C175" s="16"/>
      <c r="D175" s="16"/>
      <c r="E175" s="16"/>
      <c r="F175" s="84"/>
    </row>
    <row r="176" spans="1:6" ht="20.05" customHeight="1" x14ac:dyDescent="0.45">
      <c r="A176" s="128" t="s">
        <v>88</v>
      </c>
      <c r="B176" s="129">
        <v>3.69</v>
      </c>
      <c r="C176" s="16"/>
      <c r="D176" s="16"/>
      <c r="E176" s="16"/>
      <c r="F176" s="84"/>
    </row>
    <row r="177" spans="1:6" ht="20.05" customHeight="1" thickBot="1" x14ac:dyDescent="0.5">
      <c r="A177" s="130" t="s">
        <v>89</v>
      </c>
      <c r="B177" s="131">
        <v>3.18</v>
      </c>
      <c r="C177" s="16"/>
      <c r="D177" s="16"/>
      <c r="E177" s="16"/>
      <c r="F177" s="84"/>
    </row>
    <row r="178" spans="1:6" ht="14.15" customHeight="1" x14ac:dyDescent="0.45">
      <c r="A178" s="16"/>
      <c r="B178" s="16"/>
      <c r="C178" s="16"/>
      <c r="D178" s="16"/>
      <c r="E178" s="16"/>
      <c r="F178" s="84"/>
    </row>
    <row r="179" spans="1:6" ht="20.05" customHeight="1" x14ac:dyDescent="0.45">
      <c r="A179" s="16" t="s">
        <v>124</v>
      </c>
      <c r="B179" s="16"/>
      <c r="C179" s="16"/>
      <c r="D179" s="16"/>
      <c r="E179" s="16"/>
      <c r="F179" s="84"/>
    </row>
    <row r="180" spans="1:6" ht="20.05" customHeight="1" x14ac:dyDescent="0.4">
      <c r="A180" s="16" t="s">
        <v>194</v>
      </c>
      <c r="B180" s="16"/>
      <c r="C180" s="16"/>
      <c r="D180" s="16"/>
      <c r="E180" s="16"/>
      <c r="F180" s="147" t="s">
        <v>118</v>
      </c>
    </row>
    <row r="181" spans="1:6" ht="20.05" customHeight="1" x14ac:dyDescent="0.4">
      <c r="A181" s="28"/>
      <c r="B181" s="29"/>
      <c r="C181" s="29"/>
      <c r="D181" s="29"/>
      <c r="E181" s="28"/>
    </row>
    <row r="182" spans="1:6" ht="20.05" customHeight="1" x14ac:dyDescent="0.5">
      <c r="A182" s="19" t="s">
        <v>143</v>
      </c>
      <c r="B182" s="6"/>
      <c r="C182" s="6"/>
      <c r="D182" s="9"/>
    </row>
    <row r="183" spans="1:6" ht="26.6" customHeight="1" x14ac:dyDescent="0.4">
      <c r="A183" s="7" t="s">
        <v>145</v>
      </c>
      <c r="B183" s="6"/>
      <c r="C183" s="6"/>
      <c r="D183" s="9"/>
    </row>
    <row r="184" spans="1:6" ht="23.05" customHeight="1" x14ac:dyDescent="0.4">
      <c r="A184" s="28" t="s">
        <v>37</v>
      </c>
      <c r="B184" s="28"/>
      <c r="C184" s="28"/>
      <c r="D184" s="28"/>
      <c r="E184" s="28"/>
      <c r="F184" s="85"/>
    </row>
    <row r="185" spans="1:6" ht="23.05" customHeight="1" x14ac:dyDescent="0.4">
      <c r="A185" s="28" t="s">
        <v>114</v>
      </c>
      <c r="B185" s="28"/>
      <c r="C185" s="28"/>
      <c r="D185" s="28"/>
      <c r="E185" s="28"/>
      <c r="F185" s="85"/>
    </row>
    <row r="186" spans="1:6" ht="23.05" customHeight="1" x14ac:dyDescent="0.4">
      <c r="A186" s="28" t="s">
        <v>38</v>
      </c>
      <c r="B186" s="28"/>
      <c r="C186" s="28"/>
      <c r="D186" s="28"/>
      <c r="E186" s="28"/>
      <c r="F186" s="85"/>
    </row>
    <row r="187" spans="1:6" ht="8.15" customHeight="1" x14ac:dyDescent="0.4">
      <c r="A187" s="28"/>
      <c r="B187" s="28"/>
      <c r="C187" s="28"/>
      <c r="D187" s="28"/>
      <c r="E187" s="28"/>
      <c r="F187" s="85"/>
    </row>
    <row r="188" spans="1:6" ht="23.05" customHeight="1" x14ac:dyDescent="0.4">
      <c r="A188" s="28" t="s">
        <v>39</v>
      </c>
      <c r="B188" s="28"/>
      <c r="C188" s="28"/>
      <c r="D188" s="28"/>
      <c r="E188" s="28"/>
      <c r="F188" s="28"/>
    </row>
    <row r="189" spans="1:6" ht="23.05" customHeight="1" x14ac:dyDescent="0.4">
      <c r="A189" s="27" t="s">
        <v>40</v>
      </c>
      <c r="B189" s="27"/>
      <c r="C189" s="27"/>
      <c r="D189" s="86"/>
      <c r="E189" s="28"/>
      <c r="F189" s="28"/>
    </row>
    <row r="190" spans="1:6" ht="23.05" customHeight="1" x14ac:dyDescent="0.4">
      <c r="A190" s="10" t="s">
        <v>195</v>
      </c>
      <c r="B190" s="10"/>
      <c r="C190" s="10"/>
      <c r="D190" s="18"/>
      <c r="E190" s="16"/>
      <c r="F190" s="28"/>
    </row>
    <row r="191" spans="1:6" ht="23.05" customHeight="1" x14ac:dyDescent="0.4">
      <c r="A191" s="27" t="s">
        <v>115</v>
      </c>
      <c r="B191" s="27"/>
      <c r="C191" s="27"/>
      <c r="D191" s="86"/>
      <c r="E191" s="28"/>
      <c r="F191" s="28"/>
    </row>
    <row r="192" spans="1:6" ht="20.05" customHeight="1" x14ac:dyDescent="0.4">
      <c r="A192" s="27"/>
      <c r="B192" s="27"/>
      <c r="C192" s="27"/>
      <c r="D192" s="86"/>
      <c r="E192" s="28"/>
      <c r="F192" s="28"/>
    </row>
    <row r="193" spans="1:6" ht="20.05" customHeight="1" x14ac:dyDescent="0.4">
      <c r="A193" s="87"/>
      <c r="B193" s="88" t="s">
        <v>31</v>
      </c>
      <c r="C193" s="89"/>
      <c r="D193" s="90" t="s">
        <v>32</v>
      </c>
      <c r="E193" s="37" t="s">
        <v>34</v>
      </c>
      <c r="F193" s="28"/>
    </row>
    <row r="194" spans="1:6" ht="20.05" customHeight="1" x14ac:dyDescent="0.4">
      <c r="A194" s="91"/>
      <c r="B194" s="92" t="s">
        <v>9</v>
      </c>
      <c r="C194" s="93" t="s">
        <v>2</v>
      </c>
      <c r="D194" s="94" t="s">
        <v>33</v>
      </c>
      <c r="E194" s="95" t="s">
        <v>174</v>
      </c>
      <c r="F194" s="28"/>
    </row>
    <row r="195" spans="1:6" ht="20.05" customHeight="1" x14ac:dyDescent="0.4">
      <c r="A195" s="96" t="s">
        <v>3</v>
      </c>
      <c r="B195" s="97">
        <f>5500000+311491</f>
        <v>5811491</v>
      </c>
      <c r="C195" s="98">
        <f>B195/10100000</f>
        <v>0.57539514851485152</v>
      </c>
      <c r="D195" s="99">
        <f>9200000*C195</f>
        <v>5293635.3663366344</v>
      </c>
      <c r="E195" s="39">
        <f>B195-D195</f>
        <v>517855.63366336562</v>
      </c>
      <c r="F195" s="28"/>
    </row>
    <row r="196" spans="1:6" ht="20.05" customHeight="1" x14ac:dyDescent="0.4">
      <c r="A196" s="23" t="s">
        <v>10</v>
      </c>
      <c r="B196" s="24">
        <v>2705000</v>
      </c>
      <c r="C196" s="83">
        <f>B196/10100000</f>
        <v>0.26782178217821784</v>
      </c>
      <c r="D196" s="99">
        <f t="shared" ref="D196:D197" si="19">9200000*C196</f>
        <v>2463960.3960396042</v>
      </c>
      <c r="E196" s="39">
        <f t="shared" ref="E196:E197" si="20">B196-D196</f>
        <v>241039.60396039579</v>
      </c>
      <c r="F196" s="28"/>
    </row>
    <row r="197" spans="1:6" ht="20.05" customHeight="1" x14ac:dyDescent="0.4">
      <c r="A197" s="23" t="s">
        <v>11</v>
      </c>
      <c r="B197" s="24">
        <v>1583509</v>
      </c>
      <c r="C197" s="83">
        <f>B197/10100000</f>
        <v>0.1567830693069307</v>
      </c>
      <c r="D197" s="99">
        <f t="shared" si="19"/>
        <v>1442404.2376237623</v>
      </c>
      <c r="E197" s="39">
        <f t="shared" si="20"/>
        <v>141104.76237623766</v>
      </c>
      <c r="F197" s="28"/>
    </row>
    <row r="198" spans="1:6" ht="20.05" customHeight="1" x14ac:dyDescent="0.4">
      <c r="A198" s="100" t="s">
        <v>129</v>
      </c>
      <c r="B198" s="101">
        <f>SUM(B195:B197)</f>
        <v>10100000</v>
      </c>
      <c r="C198" s="102">
        <f>B198/10100000</f>
        <v>1</v>
      </c>
      <c r="D198" s="103">
        <f>SUM(D195:D197)</f>
        <v>9200000</v>
      </c>
      <c r="E198" s="104">
        <f>SUM(E195:E197)</f>
        <v>899999.99999999907</v>
      </c>
      <c r="F198" s="28"/>
    </row>
    <row r="199" spans="1:6" ht="20.05" customHeight="1" x14ac:dyDescent="0.4">
      <c r="A199" s="157"/>
      <c r="B199" s="167"/>
      <c r="C199" s="141"/>
      <c r="D199" s="168"/>
      <c r="E199" s="168"/>
      <c r="F199" s="28"/>
    </row>
    <row r="200" spans="1:6" ht="20.05" customHeight="1" x14ac:dyDescent="0.4">
      <c r="A200" s="27"/>
      <c r="B200" s="27"/>
      <c r="C200" s="27"/>
      <c r="D200" s="105"/>
      <c r="E200" s="106"/>
      <c r="F200" s="28"/>
    </row>
    <row r="201" spans="1:6" ht="20.05" customHeight="1" x14ac:dyDescent="0.5">
      <c r="A201" s="19" t="s">
        <v>144</v>
      </c>
      <c r="B201" s="16"/>
      <c r="C201" s="16"/>
      <c r="D201" s="16"/>
      <c r="E201" s="16"/>
      <c r="F201" s="16"/>
    </row>
    <row r="202" spans="1:6" ht="19.5" customHeight="1" x14ac:dyDescent="0.4">
      <c r="A202" s="16"/>
      <c r="B202" s="16"/>
      <c r="C202" s="16"/>
      <c r="D202" s="16"/>
      <c r="E202" s="16"/>
      <c r="F202" s="16"/>
    </row>
    <row r="203" spans="1:6" ht="23.05" customHeight="1" x14ac:dyDescent="0.4">
      <c r="A203" s="16" t="s">
        <v>175</v>
      </c>
      <c r="B203" s="16"/>
      <c r="C203" s="16"/>
      <c r="D203" s="16"/>
      <c r="E203" s="16"/>
      <c r="F203" s="16"/>
    </row>
    <row r="204" spans="1:6" ht="23.05" customHeight="1" x14ac:dyDescent="0.4">
      <c r="A204" s="16" t="s">
        <v>176</v>
      </c>
      <c r="B204" s="16"/>
      <c r="C204" s="16"/>
      <c r="D204" s="16"/>
      <c r="E204" s="16"/>
      <c r="F204" s="16"/>
    </row>
    <row r="205" spans="1:6" ht="23.05" customHeight="1" x14ac:dyDescent="0.4">
      <c r="A205" s="16" t="s">
        <v>177</v>
      </c>
      <c r="B205" s="16"/>
      <c r="C205" s="16"/>
      <c r="D205" s="16"/>
      <c r="E205" s="16"/>
      <c r="F205" s="16"/>
    </row>
    <row r="206" spans="1:6" ht="23.05" customHeight="1" x14ac:dyDescent="0.4">
      <c r="A206" s="16"/>
      <c r="B206" s="16"/>
      <c r="C206" s="16"/>
      <c r="D206" s="16"/>
      <c r="E206" s="16"/>
      <c r="F206" s="16"/>
    </row>
    <row r="207" spans="1:6" ht="23.05" customHeight="1" x14ac:dyDescent="0.4">
      <c r="A207" s="16" t="s">
        <v>26</v>
      </c>
      <c r="B207" s="16"/>
      <c r="C207" s="16"/>
      <c r="D207" s="16"/>
      <c r="E207" s="16"/>
      <c r="F207" s="16" t="s">
        <v>119</v>
      </c>
    </row>
    <row r="208" spans="1:6" ht="20.05" customHeight="1" x14ac:dyDescent="0.4">
      <c r="A208" s="16"/>
    </row>
    <row r="209" spans="1:6" ht="20.05" customHeight="1" x14ac:dyDescent="0.4">
      <c r="A209" s="16"/>
    </row>
    <row r="210" spans="1:6" ht="20.05" customHeight="1" x14ac:dyDescent="0.4">
      <c r="A210" s="16"/>
    </row>
    <row r="211" spans="1:6" ht="20.05" customHeight="1" x14ac:dyDescent="0.4">
      <c r="A211" s="16"/>
    </row>
    <row r="212" spans="1:6" ht="20.05" customHeight="1" x14ac:dyDescent="0.4"/>
    <row r="213" spans="1:6" ht="20.05" customHeight="1" x14ac:dyDescent="0.4">
      <c r="F213" s="147" t="s">
        <v>119</v>
      </c>
    </row>
  </sheetData>
  <pageMargins left="0.7" right="0.7" top="0.75" bottom="0.75" header="0.3" footer="0.3"/>
  <pageSetup scale="50" orientation="landscape" r:id="rId1"/>
  <rowBreaks count="4" manualBreakCount="4">
    <brk id="50" max="5" man="1"/>
    <brk id="89" max="5" man="1"/>
    <brk id="129" max="5" man="1"/>
    <brk id="18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084A0-6EA8-46E5-958D-52F57FC3565D}">
  <dimension ref="A1:Z21"/>
  <sheetViews>
    <sheetView workbookViewId="0">
      <selection activeCell="K10" sqref="K10"/>
    </sheetView>
  </sheetViews>
  <sheetFormatPr defaultRowHeight="14.6" x14ac:dyDescent="0.4"/>
  <cols>
    <col min="1" max="1" width="24.765625" customWidth="1"/>
    <col min="2" max="8" width="17.69140625" customWidth="1"/>
  </cols>
  <sheetData>
    <row r="1" spans="1:26" ht="15.45" x14ac:dyDescent="0.4">
      <c r="A1" s="17" t="s">
        <v>154</v>
      </c>
      <c r="B1" s="17"/>
      <c r="C1" s="16"/>
      <c r="D1" s="16"/>
      <c r="E1" s="16"/>
      <c r="F1" s="16"/>
      <c r="G1" s="16"/>
      <c r="H1" s="16"/>
    </row>
    <row r="2" spans="1:26" ht="15.45" x14ac:dyDescent="0.4">
      <c r="A2" s="17"/>
      <c r="B2" s="17"/>
      <c r="C2" s="16"/>
      <c r="D2" s="16"/>
      <c r="E2" s="16"/>
      <c r="F2" s="16"/>
      <c r="G2" s="16"/>
      <c r="H2" s="16"/>
    </row>
    <row r="3" spans="1:26" ht="15.45" x14ac:dyDescent="0.4">
      <c r="A3" s="17" t="s">
        <v>113</v>
      </c>
      <c r="B3" s="17"/>
      <c r="C3" s="16"/>
      <c r="D3" s="16"/>
      <c r="E3" s="16"/>
      <c r="F3" s="16"/>
      <c r="G3" s="16"/>
      <c r="H3" s="16"/>
    </row>
    <row r="4" spans="1:26" ht="15.9" thickBot="1" x14ac:dyDescent="0.45">
      <c r="A4" s="16"/>
      <c r="B4" s="16"/>
      <c r="C4" s="16"/>
      <c r="D4" s="16"/>
      <c r="E4" s="16"/>
      <c r="F4" s="16"/>
      <c r="G4" s="16"/>
      <c r="H4" s="16"/>
    </row>
    <row r="5" spans="1:26" ht="15.9" thickBot="1" x14ac:dyDescent="0.45">
      <c r="A5" s="180" t="s">
        <v>65</v>
      </c>
      <c r="B5" s="191" t="s">
        <v>148</v>
      </c>
      <c r="C5" s="191" t="s">
        <v>151</v>
      </c>
      <c r="D5" s="191" t="s">
        <v>149</v>
      </c>
      <c r="E5" s="191" t="s">
        <v>150</v>
      </c>
      <c r="F5" s="191" t="s">
        <v>152</v>
      </c>
      <c r="G5" s="191" t="s">
        <v>153</v>
      </c>
      <c r="H5" s="195" t="s">
        <v>106</v>
      </c>
    </row>
    <row r="6" spans="1:26" ht="15.45" x14ac:dyDescent="0.4">
      <c r="A6" s="196" t="s">
        <v>131</v>
      </c>
      <c r="B6" s="192">
        <v>-24311513</v>
      </c>
      <c r="C6" s="192">
        <v>14167693</v>
      </c>
      <c r="D6" s="192">
        <v>2462140</v>
      </c>
      <c r="E6" s="192">
        <v>48861696.490000002</v>
      </c>
      <c r="F6" s="210">
        <v>1069108.49</v>
      </c>
      <c r="G6" s="194">
        <f t="shared" ref="G6:G13" si="0">SUM(B6:F6)</f>
        <v>42249124.980000004</v>
      </c>
      <c r="H6" s="200">
        <f t="shared" ref="H6:H11" si="1">G6-G7</f>
        <v>2536508</v>
      </c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</row>
    <row r="7" spans="1:26" ht="15.45" x14ac:dyDescent="0.4">
      <c r="A7" s="197" t="s">
        <v>85</v>
      </c>
      <c r="B7" s="193">
        <v>-25979158</v>
      </c>
      <c r="C7" s="193">
        <v>13810403</v>
      </c>
      <c r="D7" s="193">
        <v>2305241</v>
      </c>
      <c r="E7" s="193">
        <f>48507022.49</f>
        <v>48507022.490000002</v>
      </c>
      <c r="F7" s="192">
        <v>1069108.49</v>
      </c>
      <c r="G7" s="193">
        <f t="shared" si="0"/>
        <v>39712616.980000004</v>
      </c>
      <c r="H7" s="200">
        <f t="shared" si="1"/>
        <v>-7358714.0199999958</v>
      </c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</row>
    <row r="8" spans="1:26" ht="15.45" x14ac:dyDescent="0.4">
      <c r="A8" s="197" t="s">
        <v>83</v>
      </c>
      <c r="B8" s="193">
        <v>-19238371</v>
      </c>
      <c r="C8" s="193">
        <v>14851753</v>
      </c>
      <c r="D8" s="193">
        <v>2133701</v>
      </c>
      <c r="E8" s="193">
        <f>2068457+46581335</f>
        <v>48649792</v>
      </c>
      <c r="F8" s="193">
        <v>674456</v>
      </c>
      <c r="G8" s="193">
        <f t="shared" si="0"/>
        <v>47071331</v>
      </c>
      <c r="H8" s="200">
        <f t="shared" si="1"/>
        <v>7171053</v>
      </c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</row>
    <row r="9" spans="1:26" ht="15.45" x14ac:dyDescent="0.4">
      <c r="A9" s="197" t="s">
        <v>70</v>
      </c>
      <c r="B9" s="193">
        <v>-22106578</v>
      </c>
      <c r="C9" s="193">
        <v>14280890</v>
      </c>
      <c r="D9" s="193">
        <v>1914991</v>
      </c>
      <c r="E9" s="193">
        <f>2068457+43009040</f>
        <v>45077497</v>
      </c>
      <c r="F9" s="193">
        <v>733478</v>
      </c>
      <c r="G9" s="193">
        <f t="shared" si="0"/>
        <v>39900278</v>
      </c>
      <c r="H9" s="200">
        <f t="shared" si="1"/>
        <v>9429059.0199999996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</row>
    <row r="10" spans="1:26" ht="15.45" x14ac:dyDescent="0.4">
      <c r="A10" s="198" t="s">
        <v>71</v>
      </c>
      <c r="B10" s="205">
        <v>-29357403</v>
      </c>
      <c r="C10" s="205">
        <v>15106102</v>
      </c>
      <c r="D10" s="205">
        <v>1766001</v>
      </c>
      <c r="E10" s="193">
        <v>42297463.490000002</v>
      </c>
      <c r="F10" s="205">
        <v>659055.49</v>
      </c>
      <c r="G10" s="193">
        <f t="shared" si="0"/>
        <v>30471218.98</v>
      </c>
      <c r="H10" s="200">
        <f t="shared" si="1"/>
        <v>-1143930.0199999996</v>
      </c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</row>
    <row r="11" spans="1:26" ht="15.45" x14ac:dyDescent="0.4">
      <c r="A11" s="199" t="s">
        <v>86</v>
      </c>
      <c r="B11" s="30">
        <v>-26662704</v>
      </c>
      <c r="C11" s="30">
        <v>14789396</v>
      </c>
      <c r="D11" s="30">
        <v>1635985</v>
      </c>
      <c r="E11" s="192">
        <f>2068457+39093198</f>
        <v>41161655</v>
      </c>
      <c r="F11" s="30">
        <v>690817</v>
      </c>
      <c r="G11" s="193">
        <f t="shared" si="0"/>
        <v>31615149</v>
      </c>
      <c r="H11" s="200">
        <f t="shared" si="1"/>
        <v>-7176560</v>
      </c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</row>
    <row r="12" spans="1:26" ht="15.45" x14ac:dyDescent="0.4">
      <c r="A12" s="199" t="s">
        <v>87</v>
      </c>
      <c r="B12" s="30">
        <v>-21136620</v>
      </c>
      <c r="C12" s="30">
        <v>15118159</v>
      </c>
      <c r="D12" s="30">
        <v>1470951</v>
      </c>
      <c r="E12" s="30">
        <f>40079865+2068457</f>
        <v>42148322</v>
      </c>
      <c r="F12" s="30">
        <v>1190897</v>
      </c>
      <c r="G12" s="193">
        <f t="shared" si="0"/>
        <v>38791709</v>
      </c>
      <c r="H12" s="200">
        <f>G12-G13</f>
        <v>7966767</v>
      </c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</row>
    <row r="13" spans="1:26" ht="15.9" thickBot="1" x14ac:dyDescent="0.45">
      <c r="A13" s="201" t="s">
        <v>88</v>
      </c>
      <c r="B13" s="202">
        <v>-21828780</v>
      </c>
      <c r="C13" s="202">
        <v>13733548</v>
      </c>
      <c r="D13" s="202">
        <v>1329450</v>
      </c>
      <c r="E13" s="202">
        <f>34252776+2068457</f>
        <v>36321233</v>
      </c>
      <c r="F13" s="202">
        <v>1269491</v>
      </c>
      <c r="G13" s="203">
        <f t="shared" si="0"/>
        <v>30824942</v>
      </c>
      <c r="H13" s="209" t="s">
        <v>155</v>
      </c>
    </row>
    <row r="14" spans="1:26" ht="15.45" x14ac:dyDescent="0.4">
      <c r="A14" s="16"/>
      <c r="B14" s="36"/>
      <c r="C14" s="36"/>
      <c r="D14" s="36"/>
      <c r="E14" s="36"/>
      <c r="F14" s="36"/>
      <c r="G14" s="36"/>
      <c r="H14" s="36"/>
    </row>
    <row r="15" spans="1:26" ht="15.45" x14ac:dyDescent="0.4">
      <c r="A15" s="16"/>
      <c r="B15" s="36"/>
      <c r="C15" s="36"/>
      <c r="D15" s="36"/>
      <c r="E15" s="36"/>
      <c r="F15" s="36"/>
      <c r="G15" s="36"/>
      <c r="H15" s="262" t="s">
        <v>179</v>
      </c>
    </row>
    <row r="16" spans="1:26" ht="15.45" x14ac:dyDescent="0.4">
      <c r="A16" s="16"/>
      <c r="B16" s="36"/>
      <c r="C16" s="36"/>
      <c r="D16" s="36"/>
      <c r="E16" s="36"/>
      <c r="F16" s="36"/>
      <c r="G16" s="36"/>
      <c r="H16" s="36"/>
    </row>
    <row r="17" spans="1:8" ht="15.45" x14ac:dyDescent="0.4">
      <c r="A17" s="16"/>
      <c r="B17" s="36"/>
      <c r="C17" s="36"/>
      <c r="D17" s="36"/>
      <c r="E17" s="36"/>
      <c r="F17" s="36"/>
      <c r="G17" s="36"/>
      <c r="H17" s="36"/>
    </row>
    <row r="18" spans="1:8" ht="15.45" x14ac:dyDescent="0.4">
      <c r="A18" s="16"/>
      <c r="B18" s="36"/>
      <c r="C18" s="36"/>
      <c r="D18" s="36"/>
      <c r="E18" s="36"/>
      <c r="F18" s="36"/>
      <c r="G18" s="36"/>
      <c r="H18" s="36"/>
    </row>
    <row r="19" spans="1:8" ht="15.45" x14ac:dyDescent="0.4">
      <c r="A19" s="16"/>
      <c r="B19" s="36"/>
      <c r="C19" s="36"/>
      <c r="D19" s="36"/>
      <c r="E19" s="36"/>
      <c r="F19" s="36"/>
      <c r="G19" s="36"/>
      <c r="H19" s="36"/>
    </row>
    <row r="20" spans="1:8" ht="15.45" x14ac:dyDescent="0.4">
      <c r="A20" s="16"/>
      <c r="B20" s="36"/>
      <c r="C20" s="36"/>
      <c r="D20" s="36"/>
      <c r="E20" s="36"/>
      <c r="F20" s="36"/>
      <c r="G20" s="36"/>
      <c r="H20" s="36"/>
    </row>
    <row r="21" spans="1:8" ht="15.45" x14ac:dyDescent="0.4">
      <c r="A21" s="16"/>
      <c r="B21" s="36"/>
      <c r="C21" s="36"/>
      <c r="D21" s="36"/>
      <c r="E21" s="36"/>
      <c r="F21" s="36"/>
      <c r="G21" s="36"/>
      <c r="H21" s="36"/>
    </row>
  </sheetData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</vt:lpstr>
      <vt:lpstr>SUMMARY</vt:lpstr>
      <vt:lpstr>SCHED1-NAB</vt:lpstr>
      <vt:lpstr>COVER!Print_Area</vt:lpstr>
      <vt:lpstr>SUMMARY!Print_Area</vt:lpstr>
    </vt:vector>
  </TitlesOfParts>
  <Company>American Library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jpak</dc:creator>
  <cp:lastModifiedBy>Joanne Lee</cp:lastModifiedBy>
  <cp:lastPrinted>2020-10-09T20:35:21Z</cp:lastPrinted>
  <dcterms:created xsi:type="dcterms:W3CDTF">2012-10-05T01:59:42Z</dcterms:created>
  <dcterms:modified xsi:type="dcterms:W3CDTF">2020-10-09T20:42:04Z</dcterms:modified>
</cp:coreProperties>
</file>