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ritz\Downloads\March 2020\5-year Plan\FY 2021\April\"/>
    </mc:Choice>
  </mc:AlternateContent>
  <xr:revisionPtr revIDLastSave="0" documentId="13_ncr:1_{4BDF7EB7-E180-4815-9DD8-4A95D938DD48}" xr6:coauthVersionLast="45" xr6:coauthVersionMax="45" xr10:uidLastSave="{00000000-0000-0000-0000-000000000000}"/>
  <bookViews>
    <workbookView xWindow="-48" yWindow="-48" windowWidth="23136" windowHeight="12432" xr2:uid="{97728722-60AD-4DB8-ACB8-B851375A235D}"/>
  </bookViews>
  <sheets>
    <sheet name="Spring 2021" sheetId="5" r:id="rId1"/>
    <sheet name="Total ALA Payroll" sheetId="6" r:id="rId2"/>
    <sheet name="Revenue Pie Chart" sheetId="7" r:id="rId3"/>
    <sheet name="Divisions" sheetId="4" r:id="rId4"/>
    <sheet name="Liquidity - ST Investments" sheetId="9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4" l="1"/>
  <c r="K7" i="4"/>
  <c r="J7" i="4"/>
  <c r="I7" i="4"/>
  <c r="H7" i="4"/>
  <c r="G7" i="4"/>
  <c r="F7" i="4"/>
  <c r="E7" i="4"/>
  <c r="D7" i="4"/>
  <c r="C7" i="4"/>
  <c r="X16" i="5" l="1"/>
  <c r="X32" i="5" l="1"/>
  <c r="X90" i="5" l="1"/>
  <c r="X88" i="5"/>
  <c r="X85" i="5" l="1"/>
  <c r="T85" i="5" l="1"/>
  <c r="T86" i="5"/>
  <c r="T84" i="5"/>
  <c r="Y18" i="5" l="1"/>
  <c r="Z18" i="5" s="1"/>
  <c r="AA18" i="5" s="1"/>
  <c r="AB18" i="5" s="1"/>
  <c r="E15" i="6" l="1"/>
  <c r="E17" i="6" s="1"/>
  <c r="F15" i="6"/>
  <c r="G15" i="6"/>
  <c r="C15" i="6"/>
  <c r="D15" i="6"/>
  <c r="B15" i="6"/>
  <c r="K36" i="4" l="1"/>
  <c r="I37" i="4"/>
  <c r="K37" i="4" s="1"/>
  <c r="I36" i="4"/>
  <c r="J34" i="7" l="1"/>
  <c r="J35" i="7"/>
  <c r="J36" i="7"/>
  <c r="J37" i="7"/>
  <c r="J38" i="7"/>
  <c r="J41" i="7"/>
  <c r="J33" i="7"/>
  <c r="N134" i="5" l="1"/>
  <c r="O134" i="5" s="1"/>
  <c r="H134" i="5"/>
  <c r="I134" i="5" s="1"/>
  <c r="I26" i="5" s="1"/>
  <c r="G134" i="5"/>
  <c r="G26" i="5" s="1"/>
  <c r="G34" i="5" s="1"/>
  <c r="F134" i="5"/>
  <c r="F26" i="5" s="1"/>
  <c r="E134" i="5"/>
  <c r="E26" i="5" s="1"/>
  <c r="D134" i="5"/>
  <c r="D26" i="5" s="1"/>
  <c r="D34" i="5" s="1"/>
  <c r="C134" i="5"/>
  <c r="C26" i="5" s="1"/>
  <c r="C34" i="5" s="1"/>
  <c r="R92" i="5"/>
  <c r="M92" i="5"/>
  <c r="H92" i="5"/>
  <c r="U90" i="5"/>
  <c r="V90" i="5" s="1"/>
  <c r="W90" i="5" s="1"/>
  <c r="S90" i="5"/>
  <c r="L90" i="5"/>
  <c r="N90" i="5" s="1"/>
  <c r="O90" i="5" s="1"/>
  <c r="I90" i="5"/>
  <c r="G90" i="5"/>
  <c r="G92" i="5" s="1"/>
  <c r="F90" i="5"/>
  <c r="F92" i="5" s="1"/>
  <c r="E90" i="5"/>
  <c r="E92" i="5" s="1"/>
  <c r="D90" i="5"/>
  <c r="D92" i="5" s="1"/>
  <c r="C90" i="5"/>
  <c r="C92" i="5" s="1"/>
  <c r="U88" i="5"/>
  <c r="V88" i="5" s="1"/>
  <c r="W88" i="5" s="1"/>
  <c r="P88" i="5"/>
  <c r="N88" i="5"/>
  <c r="O88" i="5" s="1"/>
  <c r="Y87" i="5"/>
  <c r="AA87" i="5" s="1"/>
  <c r="V87" i="5"/>
  <c r="W87" i="5" s="1"/>
  <c r="P87" i="5"/>
  <c r="N87" i="5"/>
  <c r="O87" i="5" s="1"/>
  <c r="I87" i="5"/>
  <c r="Y86" i="5"/>
  <c r="V86" i="5"/>
  <c r="W86" i="5" s="1"/>
  <c r="P86" i="5"/>
  <c r="N86" i="5"/>
  <c r="O86" i="5" s="1"/>
  <c r="U85" i="5"/>
  <c r="V85" i="5" s="1"/>
  <c r="W85" i="5" s="1"/>
  <c r="S85" i="5"/>
  <c r="P85" i="5"/>
  <c r="L85" i="5"/>
  <c r="K85" i="5"/>
  <c r="K92" i="5" s="1"/>
  <c r="I85" i="5"/>
  <c r="Y84" i="5"/>
  <c r="V84" i="5"/>
  <c r="W84" i="5" s="1"/>
  <c r="N84" i="5"/>
  <c r="O84" i="5" s="1"/>
  <c r="Y83" i="5"/>
  <c r="V83" i="5"/>
  <c r="W83" i="5" s="1"/>
  <c r="N83" i="5"/>
  <c r="O83" i="5" s="1"/>
  <c r="V82" i="5"/>
  <c r="W82" i="5" s="1"/>
  <c r="P82" i="5"/>
  <c r="N82" i="5"/>
  <c r="O82" i="5" s="1"/>
  <c r="U81" i="5"/>
  <c r="V81" i="5" s="1"/>
  <c r="W81" i="5" s="1"/>
  <c r="S81" i="5"/>
  <c r="P81" i="5"/>
  <c r="N81" i="5"/>
  <c r="O81" i="5" s="1"/>
  <c r="AB79" i="5"/>
  <c r="AA79" i="5"/>
  <c r="Z79" i="5"/>
  <c r="Y79" i="5"/>
  <c r="N75" i="5"/>
  <c r="O75" i="5" s="1"/>
  <c r="AB66" i="5"/>
  <c r="AA66" i="5"/>
  <c r="Z66" i="5"/>
  <c r="Y66" i="5"/>
  <c r="X66" i="5"/>
  <c r="U66" i="5"/>
  <c r="T66" i="5"/>
  <c r="P66" i="5"/>
  <c r="L66" i="5"/>
  <c r="I66" i="5"/>
  <c r="G66" i="5"/>
  <c r="F66" i="5"/>
  <c r="E66" i="5"/>
  <c r="D66" i="5"/>
  <c r="U55" i="5"/>
  <c r="T55" i="5"/>
  <c r="S55" i="5"/>
  <c r="R55" i="5"/>
  <c r="M55" i="5"/>
  <c r="L55" i="5"/>
  <c r="G55" i="5"/>
  <c r="F55" i="5"/>
  <c r="D55" i="5"/>
  <c r="C55" i="5"/>
  <c r="W53" i="5"/>
  <c r="O53" i="5"/>
  <c r="W52" i="5"/>
  <c r="O52" i="5"/>
  <c r="AB51" i="5"/>
  <c r="AA51" i="5"/>
  <c r="Z51" i="5"/>
  <c r="Y51" i="5"/>
  <c r="V51" i="5"/>
  <c r="W51" i="5" s="1"/>
  <c r="P51" i="5"/>
  <c r="N51" i="5"/>
  <c r="O51" i="5" s="1"/>
  <c r="K51" i="5"/>
  <c r="K55" i="5" s="1"/>
  <c r="I51" i="5"/>
  <c r="I55" i="5" s="1"/>
  <c r="E51" i="5"/>
  <c r="Y50" i="5"/>
  <c r="V50" i="5"/>
  <c r="W50" i="5" s="1"/>
  <c r="N50" i="5"/>
  <c r="O50" i="5" s="1"/>
  <c r="H50" i="5"/>
  <c r="E50" i="5"/>
  <c r="Y49" i="5"/>
  <c r="AA49" i="5" s="1"/>
  <c r="V49" i="5"/>
  <c r="W49" i="5" s="1"/>
  <c r="P49" i="5"/>
  <c r="N49" i="5"/>
  <c r="O49" i="5" s="1"/>
  <c r="H49" i="5"/>
  <c r="E49" i="5"/>
  <c r="V47" i="5"/>
  <c r="W47" i="5" s="1"/>
  <c r="P47" i="5"/>
  <c r="N47" i="5"/>
  <c r="H47" i="5"/>
  <c r="V46" i="5"/>
  <c r="W46" i="5" s="1"/>
  <c r="P46" i="5"/>
  <c r="N46" i="5"/>
  <c r="O46" i="5" s="1"/>
  <c r="H46" i="5"/>
  <c r="AB43" i="5"/>
  <c r="AA43" i="5"/>
  <c r="Z43" i="5"/>
  <c r="Y43" i="5"/>
  <c r="X43" i="5"/>
  <c r="U43" i="5"/>
  <c r="T43" i="5"/>
  <c r="P43" i="5"/>
  <c r="L43" i="5"/>
  <c r="I43" i="5"/>
  <c r="G43" i="5"/>
  <c r="F43" i="5"/>
  <c r="E43" i="5"/>
  <c r="AB42" i="5"/>
  <c r="AA42" i="5"/>
  <c r="Z42" i="5"/>
  <c r="Y42" i="5"/>
  <c r="X42" i="5"/>
  <c r="U42" i="5"/>
  <c r="T42" i="5"/>
  <c r="P42" i="5"/>
  <c r="L42" i="5"/>
  <c r="I42" i="5"/>
  <c r="G42" i="5"/>
  <c r="F42" i="5"/>
  <c r="E42" i="5"/>
  <c r="AB41" i="5"/>
  <c r="AA41" i="5"/>
  <c r="Z41" i="5"/>
  <c r="Y41" i="5"/>
  <c r="X41" i="5"/>
  <c r="U41" i="5"/>
  <c r="T41" i="5"/>
  <c r="P41" i="5"/>
  <c r="L41" i="5"/>
  <c r="I41" i="5"/>
  <c r="G41" i="5"/>
  <c r="F41" i="5"/>
  <c r="E41" i="5"/>
  <c r="AB40" i="5"/>
  <c r="AA40" i="5"/>
  <c r="Z40" i="5"/>
  <c r="Y40" i="5"/>
  <c r="X40" i="5"/>
  <c r="U40" i="5"/>
  <c r="T40" i="5"/>
  <c r="P40" i="5"/>
  <c r="L40" i="5"/>
  <c r="I40" i="5"/>
  <c r="G40" i="5"/>
  <c r="F40" i="5"/>
  <c r="E40" i="5"/>
  <c r="AB39" i="5"/>
  <c r="AA39" i="5"/>
  <c r="Z39" i="5"/>
  <c r="Y39" i="5"/>
  <c r="X39" i="5"/>
  <c r="U39" i="5"/>
  <c r="T39" i="5"/>
  <c r="P39" i="5"/>
  <c r="L39" i="5"/>
  <c r="I39" i="5"/>
  <c r="G39" i="5"/>
  <c r="F39" i="5"/>
  <c r="E39" i="5"/>
  <c r="AB38" i="5"/>
  <c r="AA38" i="5"/>
  <c r="Z38" i="5"/>
  <c r="Y38" i="5"/>
  <c r="X38" i="5"/>
  <c r="U38" i="5"/>
  <c r="T38" i="5"/>
  <c r="P38" i="5"/>
  <c r="L38" i="5"/>
  <c r="I38" i="5"/>
  <c r="G38" i="5"/>
  <c r="F38" i="5"/>
  <c r="E38" i="5"/>
  <c r="AB37" i="5"/>
  <c r="AA37" i="5"/>
  <c r="Z37" i="5"/>
  <c r="Y37" i="5"/>
  <c r="X37" i="5"/>
  <c r="U37" i="5"/>
  <c r="T37" i="5"/>
  <c r="P37" i="5"/>
  <c r="L37" i="5"/>
  <c r="I37" i="5"/>
  <c r="G37" i="5"/>
  <c r="F37" i="5"/>
  <c r="E37" i="5"/>
  <c r="M34" i="5"/>
  <c r="M73" i="5" s="1"/>
  <c r="M95" i="5" s="1"/>
  <c r="M115" i="5" s="1"/>
  <c r="U32" i="5"/>
  <c r="T32" i="5"/>
  <c r="T19" i="5" s="1"/>
  <c r="S32" i="5"/>
  <c r="S19" i="5" s="1"/>
  <c r="R32" i="5"/>
  <c r="R34" i="5" s="1"/>
  <c r="P32" i="5"/>
  <c r="P19" i="5" s="1"/>
  <c r="N32" i="5"/>
  <c r="O32" i="5" s="1"/>
  <c r="K32" i="5"/>
  <c r="K19" i="5" s="1"/>
  <c r="F32" i="5"/>
  <c r="F19" i="5" s="1"/>
  <c r="E32" i="5"/>
  <c r="E19" i="5" s="1"/>
  <c r="B30" i="5"/>
  <c r="Y29" i="5"/>
  <c r="Z29" i="5" s="1"/>
  <c r="AB29" i="5" s="1"/>
  <c r="AB16" i="5" s="1"/>
  <c r="J39" i="7"/>
  <c r="V29" i="5"/>
  <c r="W29" i="5" s="1"/>
  <c r="P29" i="5"/>
  <c r="P16" i="5" s="1"/>
  <c r="L29" i="5"/>
  <c r="N29" i="5" s="1"/>
  <c r="O29" i="5" s="1"/>
  <c r="E29" i="5"/>
  <c r="E16" i="5" s="1"/>
  <c r="AB28" i="5"/>
  <c r="AA28" i="5"/>
  <c r="Z28" i="5"/>
  <c r="Y28" i="5"/>
  <c r="U28" i="5"/>
  <c r="V28" i="5" s="1"/>
  <c r="W28" i="5" s="1"/>
  <c r="T28" i="5"/>
  <c r="S28" i="5"/>
  <c r="P28" i="5"/>
  <c r="L28" i="5"/>
  <c r="N28" i="5" s="1"/>
  <c r="O28" i="5" s="1"/>
  <c r="K28" i="5"/>
  <c r="E28" i="5"/>
  <c r="V27" i="5"/>
  <c r="W27" i="5" s="1"/>
  <c r="P27" i="5"/>
  <c r="L27" i="5"/>
  <c r="N27" i="5" s="1"/>
  <c r="O27" i="5" s="1"/>
  <c r="K27" i="5"/>
  <c r="I27" i="5"/>
  <c r="E27" i="5"/>
  <c r="U26" i="5"/>
  <c r="V26" i="5" s="1"/>
  <c r="W26" i="5" s="1"/>
  <c r="S26" i="5"/>
  <c r="P26" i="5"/>
  <c r="L26" i="5"/>
  <c r="K26" i="5"/>
  <c r="X23" i="5"/>
  <c r="Y23" i="5" s="1"/>
  <c r="R21" i="5"/>
  <c r="M21" i="5"/>
  <c r="H21" i="5"/>
  <c r="L19" i="5"/>
  <c r="N19" i="5" s="1"/>
  <c r="O19" i="5" s="1"/>
  <c r="I19" i="5"/>
  <c r="G19" i="5"/>
  <c r="G21" i="5" s="1"/>
  <c r="D19" i="5"/>
  <c r="C19" i="5"/>
  <c r="AB17" i="5"/>
  <c r="AA17" i="5"/>
  <c r="Z17" i="5"/>
  <c r="Y17" i="5"/>
  <c r="X17" i="5"/>
  <c r="J40" i="7" s="1"/>
  <c r="U17" i="5"/>
  <c r="T17" i="5"/>
  <c r="S17" i="5"/>
  <c r="K17" i="5"/>
  <c r="I17" i="5"/>
  <c r="U16" i="5"/>
  <c r="V16" i="5" s="1"/>
  <c r="W16" i="5" s="1"/>
  <c r="T16" i="5"/>
  <c r="S16" i="5"/>
  <c r="K16" i="5"/>
  <c r="I16" i="5"/>
  <c r="F16" i="5"/>
  <c r="D16" i="5"/>
  <c r="C16" i="5"/>
  <c r="V15" i="5"/>
  <c r="W15" i="5" s="1"/>
  <c r="L15" i="5"/>
  <c r="P15" i="5" s="1"/>
  <c r="AB14" i="5"/>
  <c r="AB50" i="5" s="1"/>
  <c r="AA14" i="5"/>
  <c r="AA50" i="5" s="1"/>
  <c r="Z14" i="5"/>
  <c r="Z50" i="5" s="1"/>
  <c r="V14" i="5"/>
  <c r="W14" i="5" s="1"/>
  <c r="N14" i="5"/>
  <c r="O14" i="5" s="1"/>
  <c r="Y13" i="5"/>
  <c r="V13" i="5"/>
  <c r="W13" i="5" s="1"/>
  <c r="L13" i="5"/>
  <c r="N13" i="5" s="1"/>
  <c r="O13" i="5" s="1"/>
  <c r="V12" i="5"/>
  <c r="W12" i="5" s="1"/>
  <c r="N12" i="5"/>
  <c r="O12" i="5" s="1"/>
  <c r="V11" i="5"/>
  <c r="W11" i="5" s="1"/>
  <c r="P11" i="5"/>
  <c r="L11" i="5"/>
  <c r="N11" i="5" s="1"/>
  <c r="O11" i="5" s="1"/>
  <c r="I11" i="5"/>
  <c r="F11" i="5"/>
  <c r="E11" i="5"/>
  <c r="D11" i="5"/>
  <c r="C11" i="5"/>
  <c r="V10" i="5"/>
  <c r="W10" i="5" s="1"/>
  <c r="P10" i="5"/>
  <c r="N10" i="5"/>
  <c r="H55" i="5" l="1"/>
  <c r="P34" i="5"/>
  <c r="U19" i="5"/>
  <c r="V19" i="5" s="1"/>
  <c r="W19" i="5" s="1"/>
  <c r="F34" i="5"/>
  <c r="F73" i="5" s="1"/>
  <c r="F95" i="5" s="1"/>
  <c r="F115" i="5" s="1"/>
  <c r="C73" i="5"/>
  <c r="C95" i="5" s="1"/>
  <c r="C154" i="5" s="1"/>
  <c r="L16" i="5"/>
  <c r="N16" i="5" s="1"/>
  <c r="O16" i="5" s="1"/>
  <c r="L70" i="5"/>
  <c r="R73" i="5"/>
  <c r="R95" i="5" s="1"/>
  <c r="R115" i="5" s="1"/>
  <c r="Y85" i="5"/>
  <c r="Z85" i="5" s="1"/>
  <c r="AB85" i="5" s="1"/>
  <c r="I34" i="5"/>
  <c r="I35" i="5" s="1"/>
  <c r="D21" i="5"/>
  <c r="T34" i="5"/>
  <c r="T35" i="5" s="1"/>
  <c r="G70" i="5"/>
  <c r="U70" i="5"/>
  <c r="I92" i="5"/>
  <c r="H26" i="5"/>
  <c r="H34" i="5" s="1"/>
  <c r="T92" i="5"/>
  <c r="P13" i="5"/>
  <c r="P21" i="5" s="1"/>
  <c r="I21" i="5"/>
  <c r="B17" i="6" s="1"/>
  <c r="T70" i="5"/>
  <c r="F70" i="5"/>
  <c r="E21" i="5"/>
  <c r="Z83" i="5"/>
  <c r="AB83" i="5" s="1"/>
  <c r="AA83" i="5"/>
  <c r="Z84" i="5"/>
  <c r="AB84" i="5" s="1"/>
  <c r="AA84" i="5"/>
  <c r="P55" i="5"/>
  <c r="S34" i="5"/>
  <c r="S73" i="5" s="1"/>
  <c r="Z87" i="5"/>
  <c r="AB87" i="5" s="1"/>
  <c r="S92" i="5"/>
  <c r="C21" i="5"/>
  <c r="S21" i="5"/>
  <c r="D17" i="6" s="1"/>
  <c r="E55" i="5"/>
  <c r="E70" i="5" s="1"/>
  <c r="AA55" i="5"/>
  <c r="AA70" i="5" s="1"/>
  <c r="I70" i="5"/>
  <c r="Y81" i="5"/>
  <c r="Z81" i="5" s="1"/>
  <c r="AB81" i="5" s="1"/>
  <c r="Y88" i="5"/>
  <c r="K34" i="5"/>
  <c r="K73" i="5" s="1"/>
  <c r="K95" i="5" s="1"/>
  <c r="K154" i="5" s="1"/>
  <c r="Z13" i="5"/>
  <c r="V21" i="5"/>
  <c r="W21" i="5" s="1"/>
  <c r="N26" i="5"/>
  <c r="L34" i="5"/>
  <c r="D35" i="5"/>
  <c r="D73" i="5"/>
  <c r="D95" i="5" s="1"/>
  <c r="D154" i="5" s="1"/>
  <c r="D70" i="5"/>
  <c r="AA86" i="5"/>
  <c r="Z86" i="5"/>
  <c r="AB86" i="5" s="1"/>
  <c r="AA13" i="5"/>
  <c r="G73" i="5"/>
  <c r="G95" i="5" s="1"/>
  <c r="G35" i="5"/>
  <c r="P35" i="5"/>
  <c r="X55" i="5"/>
  <c r="Z49" i="5"/>
  <c r="L92" i="5"/>
  <c r="N85" i="5"/>
  <c r="O85" i="5" s="1"/>
  <c r="N15" i="5"/>
  <c r="O15" i="5" s="1"/>
  <c r="T21" i="5"/>
  <c r="N55" i="5"/>
  <c r="O55" i="5" s="1"/>
  <c r="O47" i="5"/>
  <c r="AA23" i="5"/>
  <c r="Z23" i="5"/>
  <c r="AB23" i="5" s="1"/>
  <c r="U34" i="5"/>
  <c r="O10" i="5"/>
  <c r="K21" i="5"/>
  <c r="C17" i="6" s="1"/>
  <c r="Z16" i="5"/>
  <c r="E34" i="5"/>
  <c r="V55" i="5"/>
  <c r="W55" i="5" s="1"/>
  <c r="V92" i="5"/>
  <c r="W92" i="5" s="1"/>
  <c r="P90" i="5"/>
  <c r="P92" i="5" s="1"/>
  <c r="Y90" i="5"/>
  <c r="Y55" i="5"/>
  <c r="Y70" i="5" s="1"/>
  <c r="F21" i="5"/>
  <c r="Y16" i="5"/>
  <c r="AA29" i="5"/>
  <c r="V32" i="5"/>
  <c r="W32" i="5" s="1"/>
  <c r="U92" i="5"/>
  <c r="U21" i="5" l="1"/>
  <c r="F17" i="6" s="1"/>
  <c r="H73" i="5"/>
  <c r="H95" i="5" s="1"/>
  <c r="H154" i="5" s="1"/>
  <c r="T73" i="5"/>
  <c r="T95" i="5" s="1"/>
  <c r="T121" i="5" s="1"/>
  <c r="T123" i="5" s="1"/>
  <c r="P73" i="5"/>
  <c r="P95" i="5" s="1"/>
  <c r="P154" i="5" s="1"/>
  <c r="S95" i="5"/>
  <c r="R97" i="5"/>
  <c r="R99" i="5" s="1"/>
  <c r="F35" i="5"/>
  <c r="L21" i="5"/>
  <c r="N92" i="5"/>
  <c r="O92" i="5" s="1"/>
  <c r="AA85" i="5"/>
  <c r="I73" i="5"/>
  <c r="J73" i="5" s="1"/>
  <c r="Y92" i="5"/>
  <c r="H115" i="5"/>
  <c r="V34" i="5"/>
  <c r="W34" i="5" s="1"/>
  <c r="N21" i="5"/>
  <c r="AA81" i="5"/>
  <c r="F154" i="5"/>
  <c r="X70" i="5"/>
  <c r="X92" i="5"/>
  <c r="P70" i="5"/>
  <c r="Z88" i="5"/>
  <c r="AB88" i="5" s="1"/>
  <c r="AA88" i="5"/>
  <c r="U35" i="5"/>
  <c r="U73" i="5"/>
  <c r="U95" i="5" s="1"/>
  <c r="AB13" i="5"/>
  <c r="L35" i="5"/>
  <c r="L73" i="5"/>
  <c r="L95" i="5" s="1"/>
  <c r="AA16" i="5"/>
  <c r="E35" i="5"/>
  <c r="E73" i="5"/>
  <c r="E95" i="5" s="1"/>
  <c r="E154" i="5" s="1"/>
  <c r="Z55" i="5"/>
  <c r="Z70" i="5" s="1"/>
  <c r="AB49" i="5"/>
  <c r="AB55" i="5" s="1"/>
  <c r="AB70" i="5" s="1"/>
  <c r="G115" i="5"/>
  <c r="G154" i="5"/>
  <c r="Z90" i="5"/>
  <c r="AA90" i="5"/>
  <c r="O26" i="5"/>
  <c r="N34" i="5"/>
  <c r="J32" i="5" l="1"/>
  <c r="J29" i="5"/>
  <c r="J55" i="5"/>
  <c r="J50" i="5"/>
  <c r="I95" i="5"/>
  <c r="I115" i="5" s="1"/>
  <c r="V73" i="5"/>
  <c r="W73" i="5" s="1"/>
  <c r="T97" i="5"/>
  <c r="T99" i="5" s="1"/>
  <c r="T154" i="5"/>
  <c r="J34" i="5"/>
  <c r="J46" i="5"/>
  <c r="J47" i="5"/>
  <c r="J51" i="5"/>
  <c r="J28" i="5"/>
  <c r="J26" i="5"/>
  <c r="J49" i="5"/>
  <c r="O21" i="5"/>
  <c r="J27" i="5"/>
  <c r="AA92" i="5"/>
  <c r="AB90" i="5"/>
  <c r="AB92" i="5" s="1"/>
  <c r="Z92" i="5"/>
  <c r="N73" i="5"/>
  <c r="O34" i="5"/>
  <c r="U154" i="5"/>
  <c r="U97" i="5"/>
  <c r="U99" i="5" s="1"/>
  <c r="U121" i="5"/>
  <c r="U123" i="5" s="1"/>
  <c r="L115" i="5"/>
  <c r="L154" i="5"/>
  <c r="V95" i="5" l="1"/>
  <c r="W95" i="5" s="1"/>
  <c r="I154" i="5"/>
  <c r="O73" i="5"/>
  <c r="N95" i="5"/>
  <c r="N154" i="5" l="1"/>
  <c r="O154" i="5" s="1"/>
  <c r="O95" i="5"/>
  <c r="C35" i="4" l="1"/>
  <c r="C21" i="4"/>
  <c r="J33" i="4"/>
  <c r="L33" i="4" s="1"/>
  <c r="I33" i="4"/>
  <c r="K33" i="4" s="1"/>
  <c r="I32" i="4"/>
  <c r="K32" i="4" s="1"/>
  <c r="J32" i="4"/>
  <c r="L32" i="4" s="1"/>
  <c r="I31" i="4"/>
  <c r="K31" i="4" s="1"/>
  <c r="J31" i="4"/>
  <c r="L31" i="4" s="1"/>
  <c r="J30" i="4"/>
  <c r="L30" i="4" s="1"/>
  <c r="I30" i="4"/>
  <c r="K30" i="4" s="1"/>
  <c r="I29" i="4"/>
  <c r="K29" i="4" s="1"/>
  <c r="J29" i="4"/>
  <c r="L29" i="4" s="1"/>
  <c r="I28" i="4"/>
  <c r="K28" i="4" s="1"/>
  <c r="J28" i="4"/>
  <c r="L28" i="4" s="1"/>
  <c r="I27" i="4"/>
  <c r="K27" i="4" s="1"/>
  <c r="J27" i="4"/>
  <c r="L27" i="4" s="1"/>
  <c r="I26" i="4"/>
  <c r="K26" i="4" s="1"/>
  <c r="J26" i="4"/>
  <c r="L26" i="4" s="1"/>
  <c r="J25" i="4"/>
  <c r="L25" i="4" s="1"/>
  <c r="I25" i="4"/>
  <c r="K25" i="4" s="1"/>
  <c r="I24" i="4"/>
  <c r="K24" i="4" s="1"/>
  <c r="H35" i="4"/>
  <c r="J18" i="4"/>
  <c r="L18" i="4" s="1"/>
  <c r="J17" i="4"/>
  <c r="L17" i="4" s="1"/>
  <c r="J15" i="4"/>
  <c r="L15" i="4" s="1"/>
  <c r="J13" i="4"/>
  <c r="L13" i="4" s="1"/>
  <c r="J10" i="4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11" i="4"/>
  <c r="K11" i="4" s="1"/>
  <c r="H21" i="4"/>
  <c r="J12" i="4"/>
  <c r="L12" i="4" s="1"/>
  <c r="J14" i="4"/>
  <c r="L14" i="4" s="1"/>
  <c r="J16" i="4"/>
  <c r="L16" i="4" s="1"/>
  <c r="J19" i="4"/>
  <c r="L19" i="4" s="1"/>
  <c r="I10" i="4"/>
  <c r="I21" i="4" s="1"/>
  <c r="E35" i="4"/>
  <c r="F35" i="4"/>
  <c r="G35" i="4"/>
  <c r="D35" i="4"/>
  <c r="G21" i="4"/>
  <c r="F21" i="4"/>
  <c r="F39" i="4" s="1"/>
  <c r="K10" i="4" l="1"/>
  <c r="G39" i="4"/>
  <c r="H7" i="9" s="1"/>
  <c r="C39" i="4"/>
  <c r="H39" i="4"/>
  <c r="J11" i="4"/>
  <c r="L11" i="4" s="1"/>
  <c r="K21" i="4"/>
  <c r="K39" i="4" s="1"/>
  <c r="L10" i="4"/>
  <c r="K35" i="4"/>
  <c r="I35" i="4"/>
  <c r="I39" i="4" s="1"/>
  <c r="J24" i="4"/>
  <c r="L21" i="4" l="1"/>
  <c r="J21" i="4"/>
  <c r="J35" i="4"/>
  <c r="L24" i="4"/>
  <c r="L35" i="4" s="1"/>
  <c r="L39" i="4" s="1"/>
  <c r="J39" i="4" l="1"/>
  <c r="E21" i="4"/>
  <c r="E39" i="4" s="1"/>
  <c r="D21" i="4"/>
  <c r="D39" i="4" s="1"/>
  <c r="AB32" i="5" l="1"/>
  <c r="AB34" i="5" s="1"/>
  <c r="AB35" i="5" s="1"/>
  <c r="AA32" i="5"/>
  <c r="AA34" i="5" s="1"/>
  <c r="Z32" i="5"/>
  <c r="Z19" i="5" s="1"/>
  <c r="Z21" i="5" s="1"/>
  <c r="Y32" i="5"/>
  <c r="Y19" i="5" s="1"/>
  <c r="Y21" i="5" s="1"/>
  <c r="X19" i="5"/>
  <c r="J42" i="7" s="1"/>
  <c r="X34" i="5"/>
  <c r="X35" i="5" s="1"/>
  <c r="AB19" i="5" l="1"/>
  <c r="AB21" i="5" s="1"/>
  <c r="AA35" i="5"/>
  <c r="AA73" i="5"/>
  <c r="AA95" i="5" s="1"/>
  <c r="X21" i="5"/>
  <c r="G17" i="6" s="1"/>
  <c r="X73" i="5"/>
  <c r="X95" i="5" s="1"/>
  <c r="Y34" i="5"/>
  <c r="Z34" i="5"/>
  <c r="AA19" i="5"/>
  <c r="AA21" i="5" s="1"/>
  <c r="AB73" i="5"/>
  <c r="AB95" i="5" s="1"/>
  <c r="AB97" i="5" l="1"/>
  <c r="AB99" i="5" s="1"/>
  <c r="Y154" i="5"/>
  <c r="X97" i="5"/>
  <c r="X99" i="5" s="1"/>
  <c r="I7" i="9"/>
  <c r="V154" i="5"/>
  <c r="AA97" i="5"/>
  <c r="AA99" i="5" s="1"/>
  <c r="Z35" i="5"/>
  <c r="Z73" i="5"/>
  <c r="Z95" i="5" s="1"/>
  <c r="Y35" i="5"/>
  <c r="Y73" i="5"/>
  <c r="Y95" i="5" s="1"/>
  <c r="J7" i="9" l="1"/>
  <c r="K7" i="9" s="1"/>
  <c r="L7" i="9" s="1"/>
  <c r="M7" i="9" s="1"/>
  <c r="Z97" i="5"/>
  <c r="Z99" i="5" s="1"/>
  <c r="X154" i="5"/>
  <c r="Y97" i="5"/>
  <c r="Y99" i="5" s="1"/>
  <c r="W1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Moritz</author>
  </authors>
  <commentList>
    <comment ref="U88" authorId="0" shapeId="0" xr:uid="{64513950-2C18-4D17-BAB2-6CA42ABE581F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included Unit 511 in Gen Adm</t>
        </r>
      </text>
    </comment>
    <comment ref="U90" authorId="0" shapeId="0" xr:uid="{B71C9FC4-EC9D-4E18-9A39-383CEFD7DD36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(1) includes Unit 511; (2) includes placeholder expense savings of $1,350,000; see Unit 591 Expenses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Moritz</author>
  </authors>
  <commentList>
    <comment ref="G7" authorId="0" shapeId="0" xr:uid="{6B79C544-376F-4282-8E6F-95C9B1CAA07B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estimate - see Short-term Investments spreadsheet</t>
        </r>
      </text>
    </comment>
  </commentList>
</comments>
</file>

<file path=xl/sharedStrings.xml><?xml version="1.0" encoding="utf-8"?>
<sst xmlns="http://schemas.openxmlformats.org/spreadsheetml/2006/main" count="224" uniqueCount="161">
  <si>
    <t xml:space="preserve">Key Assumptions:  </t>
  </si>
  <si>
    <r>
      <rPr>
        <sz val="11"/>
        <color rgb="FFFF0000"/>
        <rFont val="Calibri"/>
        <family val="2"/>
        <scheme val="minor"/>
      </rPr>
      <t>ALA</t>
    </r>
    <r>
      <rPr>
        <sz val="11"/>
        <color rgb="FF0070C0"/>
        <rFont val="Calibri"/>
        <family val="2"/>
        <scheme val="minor"/>
      </rPr>
      <t>AmericanLibraryAssociation</t>
    </r>
  </si>
  <si>
    <t>- Annual 7% Increase Health Care Expense</t>
  </si>
  <si>
    <t xml:space="preserve"> </t>
  </si>
  <si>
    <t>Difference</t>
  </si>
  <si>
    <t>(presented at</t>
  </si>
  <si>
    <t>2018 Annual Conference</t>
  </si>
  <si>
    <t>Actual 2013</t>
  </si>
  <si>
    <t xml:space="preserve"> Actual 2014</t>
  </si>
  <si>
    <t>Actual 2015</t>
  </si>
  <si>
    <t>Actual 2016</t>
  </si>
  <si>
    <t>2017 ORIG</t>
  </si>
  <si>
    <t>Actual 2017</t>
  </si>
  <si>
    <t>Budget 2018</t>
  </si>
  <si>
    <t>Projection 2018</t>
  </si>
  <si>
    <t>$</t>
  </si>
  <si>
    <t>%</t>
  </si>
  <si>
    <t>Fall 2017 Meetings)</t>
  </si>
  <si>
    <t>Budget 2019</t>
  </si>
  <si>
    <t>Plan 2023</t>
  </si>
  <si>
    <t>TOTAL ALA</t>
  </si>
  <si>
    <t>Publishing - Gross Revenue</t>
  </si>
  <si>
    <t>Conference - Gross Revenue</t>
  </si>
  <si>
    <t>Membership Dues - Gross Revenue</t>
  </si>
  <si>
    <t>Divisions - Gross Revenue</t>
  </si>
  <si>
    <t>Round Tables - Gross Revenue</t>
  </si>
  <si>
    <t>Grants - Gross Revenue</t>
  </si>
  <si>
    <t>Interest Income and Investment Earnings</t>
  </si>
  <si>
    <t>Total Gross Revenue</t>
  </si>
  <si>
    <t>OVERHEAD RATE</t>
  </si>
  <si>
    <t>GENERAL FUND</t>
  </si>
  <si>
    <t>Publishing Net Revenue (Before NS Amortization)</t>
  </si>
  <si>
    <t>Conference Net Revenue</t>
  </si>
  <si>
    <t>Membership Dues, net</t>
  </si>
  <si>
    <t>Other</t>
  </si>
  <si>
    <t>Total Net Revenue and Income</t>
  </si>
  <si>
    <t>Net Revenue= Revenue minus expenses</t>
  </si>
  <si>
    <t>Washington</t>
  </si>
  <si>
    <t>MPS/Offices</t>
  </si>
  <si>
    <t>Executive Office</t>
  </si>
  <si>
    <t>Communications</t>
  </si>
  <si>
    <t>ITTS</t>
  </si>
  <si>
    <t>Finance</t>
  </si>
  <si>
    <t>Staff Support</t>
  </si>
  <si>
    <t>Publishing Overhead</t>
  </si>
  <si>
    <t>Conference Overhead</t>
  </si>
  <si>
    <t>Division Overhead</t>
  </si>
  <si>
    <t>Round Table Overhead</t>
  </si>
  <si>
    <t>Grant Overhead</t>
  </si>
  <si>
    <t>Total Overhead</t>
  </si>
  <si>
    <t>Incremental Expenses</t>
  </si>
  <si>
    <t>Inflation</t>
  </si>
  <si>
    <t>New Initiatives</t>
  </si>
  <si>
    <t xml:space="preserve">To Be Allocated </t>
  </si>
  <si>
    <t>Operating Technology Expense</t>
  </si>
  <si>
    <t>Salary and Benefit Increase @ 2%</t>
  </si>
  <si>
    <t>Total Incremental Expenses</t>
  </si>
  <si>
    <t>Program /Expense Reduction</t>
  </si>
  <si>
    <t>Total Expenses</t>
  </si>
  <si>
    <t>Net Revenue and Overhead</t>
  </si>
  <si>
    <t>General Fund Expenses</t>
  </si>
  <si>
    <t>Advocacy and Member Relations Offices</t>
  </si>
  <si>
    <t>Member and Customer Service</t>
  </si>
  <si>
    <t xml:space="preserve">General Administration Expenses </t>
  </si>
  <si>
    <t>Total General Fund Expenses</t>
  </si>
  <si>
    <t>Net General Fund Revenue (Expense) Before NS Amortization</t>
  </si>
  <si>
    <t>Use from Net Assets</t>
  </si>
  <si>
    <t>General Fund Net Revenue (Expense)</t>
  </si>
  <si>
    <t>Neal Schuman Amortization</t>
  </si>
  <si>
    <t>Net General Fund Revenue (Expense) After NS Amortization</t>
  </si>
  <si>
    <t>Note 1: FY 2019 includes Banned Books Week - $88k; Donations/Honoraria - $106k; ALA Leadership Institute - $66k; Office for Accreditation fees - $81k; Mailing List revenue - $80k</t>
  </si>
  <si>
    <t>TOTAL Existing Biz Growth</t>
  </si>
  <si>
    <t>Plan 2024</t>
  </si>
  <si>
    <t>IT Department</t>
  </si>
  <si>
    <t xml:space="preserve">Actual 2018  </t>
  </si>
  <si>
    <t>Washington Office</t>
  </si>
  <si>
    <t>Medical Benefits/CPI</t>
  </si>
  <si>
    <t xml:space="preserve">Other </t>
  </si>
  <si>
    <t>ALA Offices and Member Relations</t>
  </si>
  <si>
    <t xml:space="preserve">- Annual staff salary increases of 2% </t>
  </si>
  <si>
    <t>- Inflation 2%</t>
  </si>
  <si>
    <t>Actual 2019</t>
  </si>
  <si>
    <t xml:space="preserve">ALA 5-year Plan </t>
  </si>
  <si>
    <t>5 Year Plan FY 2022-2026</t>
  </si>
  <si>
    <t>Plan 2026</t>
  </si>
  <si>
    <t>Plan 2025</t>
  </si>
  <si>
    <t>Budget 2022</t>
  </si>
  <si>
    <t>Projections 2020</t>
  </si>
  <si>
    <t>Budget 2021</t>
  </si>
  <si>
    <t>Contributed Revenue</t>
  </si>
  <si>
    <t>Continuing Education</t>
  </si>
  <si>
    <t>Continuing Education Overhead</t>
  </si>
  <si>
    <t>AASL</t>
  </si>
  <si>
    <t>ACRL</t>
  </si>
  <si>
    <t>ALSC</t>
  </si>
  <si>
    <t>ASGCLA</t>
  </si>
  <si>
    <t>CHOICE</t>
  </si>
  <si>
    <t>PLA</t>
  </si>
  <si>
    <t>RUSA</t>
  </si>
  <si>
    <t>UFL</t>
  </si>
  <si>
    <t>YALSA</t>
  </si>
  <si>
    <t>CORE</t>
  </si>
  <si>
    <t>Revenue</t>
  </si>
  <si>
    <t>American Association of School Librarians</t>
  </si>
  <si>
    <t>Association for Library Service to Children</t>
  </si>
  <si>
    <t>Association of College &amp; Research Libraries</t>
  </si>
  <si>
    <t>Public Library Association</t>
  </si>
  <si>
    <t>Reference &amp; User Services Association</t>
  </si>
  <si>
    <t>Young Adult Library Services Association</t>
  </si>
  <si>
    <t>United for Libraries</t>
  </si>
  <si>
    <t>Choice</t>
  </si>
  <si>
    <t>Association of Specialized, Government &amp; Cooperative Library Agencies</t>
  </si>
  <si>
    <t>Core: Leadership, Infrastructure, Futures (see Note 1)</t>
  </si>
  <si>
    <t xml:space="preserve">Note 1: </t>
  </si>
  <si>
    <t>Prior to FY 2021, Core was three separate divisions: ALCTS, LITA and LLAMA.</t>
  </si>
  <si>
    <t>Expenses</t>
  </si>
  <si>
    <t>Total revenue</t>
  </si>
  <si>
    <t>Travel Expense savings</t>
  </si>
  <si>
    <t>Meetings Expense savings</t>
  </si>
  <si>
    <t>Total expenses</t>
  </si>
  <si>
    <t>Conference</t>
  </si>
  <si>
    <t>Membership Dues</t>
  </si>
  <si>
    <t>Divisions</t>
  </si>
  <si>
    <t>Round Tables</t>
  </si>
  <si>
    <t>Grants</t>
  </si>
  <si>
    <t>Publishing Department</t>
  </si>
  <si>
    <t>FY 2015</t>
  </si>
  <si>
    <t>FY 2016</t>
  </si>
  <si>
    <t>FY 2017</t>
  </si>
  <si>
    <t>FY 2018</t>
  </si>
  <si>
    <t>FY 2019</t>
  </si>
  <si>
    <t>Short-term investment balance</t>
  </si>
  <si>
    <t>FY 2020</t>
  </si>
  <si>
    <t>FY 2021</t>
  </si>
  <si>
    <t>FY 2022</t>
  </si>
  <si>
    <t>FY 2023</t>
  </si>
  <si>
    <t>FY 2024</t>
  </si>
  <si>
    <t>FY 2025</t>
  </si>
  <si>
    <t>FY 2026</t>
  </si>
  <si>
    <r>
      <rPr>
        <sz val="18"/>
        <color rgb="FFFF0000"/>
        <rFont val="Calibri"/>
        <family val="2"/>
        <scheme val="minor"/>
      </rPr>
      <t>ALA</t>
    </r>
    <r>
      <rPr>
        <sz val="18"/>
        <color rgb="FF0070C0"/>
        <rFont val="Calibri"/>
        <family val="2"/>
        <scheme val="minor"/>
      </rPr>
      <t>AmericanLibraryAssociation</t>
    </r>
  </si>
  <si>
    <t>Total ALA Payroll</t>
  </si>
  <si>
    <t>FY 2017 through FY 2022</t>
  </si>
  <si>
    <t>Payroll and related expenses</t>
  </si>
  <si>
    <t>General Fund</t>
  </si>
  <si>
    <t>% to Total ALA Revenue</t>
  </si>
  <si>
    <t>Budget 2020</t>
  </si>
  <si>
    <t>Endowment Fund</t>
  </si>
  <si>
    <t>NOTE: FY 2021 budget includes 23 furlough days.</t>
  </si>
  <si>
    <t>Peer metric **</t>
  </si>
  <si>
    <t>** Source - ASAE Association Operating Ratio Report, 15th Edition</t>
  </si>
  <si>
    <t>Occupancy - lease expense</t>
  </si>
  <si>
    <t>Continuing Education Net Revenue (Expense)</t>
  </si>
  <si>
    <r>
      <rPr>
        <b/>
        <sz val="10"/>
        <color rgb="FFFF0000"/>
        <rFont val="Arial"/>
        <family val="2"/>
      </rPr>
      <t>NOTE 1:</t>
    </r>
    <r>
      <rPr>
        <b/>
        <sz val="10"/>
        <rFont val="Arial"/>
        <family val="2"/>
      </rPr>
      <t xml:space="preserve"> During FY 2019, some organizational changes were made to reassign units and/or combine offices/units performing similar work to enhance efficiency, effectiveness and impact. These changes are reflected beginning with the 2018 Actuals.  </t>
    </r>
  </si>
  <si>
    <t>EBD #3.26</t>
  </si>
  <si>
    <t>BARC #3.26</t>
  </si>
  <si>
    <r>
      <rPr>
        <b/>
        <sz val="10"/>
        <color rgb="FFFF0000"/>
        <rFont val="Arial"/>
        <family val="2"/>
      </rPr>
      <t>NOTE 2:</t>
    </r>
    <r>
      <rPr>
        <b/>
        <sz val="10"/>
        <rFont val="Arial"/>
        <family val="2"/>
      </rPr>
      <t xml:space="preserve"> Depreciation and amortization expense associated with capital requests are included in the 5-year plan.</t>
    </r>
  </si>
  <si>
    <r>
      <rPr>
        <b/>
        <sz val="10"/>
        <color rgb="FFFF0000"/>
        <rFont val="Arial"/>
        <family val="2"/>
      </rPr>
      <t>NOTE 3:</t>
    </r>
    <r>
      <rPr>
        <b/>
        <sz val="10"/>
        <rFont val="Arial"/>
        <family val="2"/>
      </rPr>
      <t xml:space="preserve"> 5 Year Figures reflect current working assumptions and are to be used to facilitate discussion only with BARC member leaders and Executive Board members.</t>
    </r>
  </si>
  <si>
    <t>DRAFT - FOR DISCUSSION PURPOSES ONLY</t>
  </si>
  <si>
    <t xml:space="preserve">Note 2: </t>
  </si>
  <si>
    <t>Note 1: Short-term investment balance only reflects General Fund growth and does not include Division growth called for by the FY 2021 - 2025 Pivot Strategy.</t>
  </si>
  <si>
    <t>5-year plan does not reflect the growth called for by the FY 2021 - 2025 Pivot Strategy.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</si>
</sst>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0_);_(* \(#,##0.0000\);_(* &quot;-&quot;??_);_(@_)"/>
    <numFmt numFmtId="167" formatCode="_(* #,##0.000_);_(* \(#,##0.000\);_(* &quot;-&quot;??_);_(@_)"/>
    <numFmt numFmtId="168" formatCode="_(* #,##0_);_(* \(#,##0\);_(* &quot;-&quot;??_);_(@_)"/>
    <numFmt numFmtId="169" formatCode="&quot;$&quot;#,##0.00"/>
    <numFmt numFmtId="170" formatCode="_(* #,##0.0000_);_(* \(#,##0.0000\);_(* &quot;-&quot;????_);_(@_)"/>
    <numFmt numFmtId="171" formatCode="#,##0;[Red]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1"/>
      <color rgb="FF0070C0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sz val="8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5" tint="-0.249977111117893"/>
      <name val="Arial"/>
      <family val="2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425">
    <xf numFmtId="0" fontId="0" fillId="0" borderId="0" xfId="0"/>
    <xf numFmtId="0" fontId="5" fillId="0" borderId="0" xfId="4" applyFont="1" applyFill="1"/>
    <xf numFmtId="0" fontId="6" fillId="0" borderId="0" xfId="4" applyFont="1" applyFill="1"/>
    <xf numFmtId="0" fontId="7" fillId="0" borderId="0" xfId="4" applyFont="1" applyFill="1"/>
    <xf numFmtId="9" fontId="7" fillId="0" borderId="0" xfId="3" applyFont="1" applyFill="1"/>
    <xf numFmtId="0" fontId="8" fillId="0" borderId="0" xfId="4" applyFont="1" applyFill="1"/>
    <xf numFmtId="0" fontId="8" fillId="0" borderId="0" xfId="4" quotePrefix="1" applyFont="1" applyFill="1" applyAlignment="1"/>
    <xf numFmtId="0" fontId="9" fillId="0" borderId="0" xfId="4" applyFont="1" applyFill="1" applyAlignment="1"/>
    <xf numFmtId="164" fontId="9" fillId="0" borderId="0" xfId="4" applyNumberFormat="1" applyFont="1" applyFill="1" applyAlignment="1"/>
    <xf numFmtId="165" fontId="9" fillId="0" borderId="0" xfId="3" applyNumberFormat="1" applyFont="1" applyFill="1" applyAlignment="1"/>
    <xf numFmtId="43" fontId="9" fillId="0" borderId="0" xfId="4" applyNumberFormat="1" applyFont="1" applyFill="1" applyAlignment="1"/>
    <xf numFmtId="6" fontId="11" fillId="0" borderId="0" xfId="4" applyNumberFormat="1" applyFont="1" applyFill="1" applyAlignment="1"/>
    <xf numFmtId="44" fontId="11" fillId="0" borderId="0" xfId="4" applyNumberFormat="1" applyFont="1" applyFill="1" applyAlignment="1"/>
    <xf numFmtId="164" fontId="11" fillId="0" borderId="0" xfId="4" applyNumberFormat="1" applyFont="1" applyFill="1" applyAlignment="1"/>
    <xf numFmtId="164" fontId="12" fillId="0" borderId="0" xfId="4" applyNumberFormat="1" applyFont="1" applyFill="1" applyAlignment="1"/>
    <xf numFmtId="0" fontId="13" fillId="0" borderId="0" xfId="4" applyFont="1" applyFill="1" applyAlignment="1"/>
    <xf numFmtId="166" fontId="13" fillId="0" borderId="0" xfId="4" applyNumberFormat="1" applyFont="1" applyFill="1" applyAlignment="1"/>
    <xf numFmtId="167" fontId="13" fillId="0" borderId="0" xfId="1" applyNumberFormat="1" applyFont="1" applyFill="1" applyAlignment="1"/>
    <xf numFmtId="43" fontId="13" fillId="0" borderId="0" xfId="1" applyFont="1" applyFill="1" applyAlignment="1"/>
    <xf numFmtId="43" fontId="11" fillId="0" borderId="0" xfId="1" applyFont="1" applyFill="1" applyAlignment="1"/>
    <xf numFmtId="165" fontId="13" fillId="0" borderId="0" xfId="3" applyNumberFormat="1" applyFont="1" applyFill="1" applyAlignment="1"/>
    <xf numFmtId="165" fontId="14" fillId="0" borderId="0" xfId="3" applyNumberFormat="1" applyFont="1" applyFill="1" applyAlignment="1"/>
    <xf numFmtId="0" fontId="7" fillId="0" borderId="0" xfId="4" applyFont="1" applyFill="1" applyAlignment="1">
      <alignment horizontal="center" wrapText="1"/>
    </xf>
    <xf numFmtId="9" fontId="15" fillId="0" borderId="0" xfId="1" applyNumberFormat="1" applyFont="1" applyFill="1" applyAlignment="1"/>
    <xf numFmtId="168" fontId="15" fillId="0" borderId="0" xfId="1" applyNumberFormat="1" applyFont="1" applyFill="1" applyAlignment="1"/>
    <xf numFmtId="0" fontId="7" fillId="0" borderId="0" xfId="4" applyFont="1" applyFill="1" applyBorder="1" applyAlignment="1">
      <alignment horizontal="center" wrapText="1"/>
    </xf>
    <xf numFmtId="0" fontId="6" fillId="0" borderId="0" xfId="4" applyFont="1" applyFill="1" applyAlignment="1">
      <alignment horizontal="center" wrapText="1"/>
    </xf>
    <xf numFmtId="0" fontId="7" fillId="0" borderId="0" xfId="4" applyFont="1" applyFill="1" applyAlignment="1" applyProtection="1">
      <alignment horizontal="center" wrapText="1"/>
    </xf>
    <xf numFmtId="0" fontId="7" fillId="0" borderId="4" xfId="4" applyFont="1" applyFill="1" applyBorder="1" applyAlignment="1">
      <alignment horizontal="center" wrapText="1"/>
    </xf>
    <xf numFmtId="0" fontId="6" fillId="2" borderId="0" xfId="4" applyFont="1" applyFill="1" applyBorder="1" applyAlignment="1">
      <alignment horizontal="center" wrapText="1"/>
    </xf>
    <xf numFmtId="0" fontId="7" fillId="0" borderId="0" xfId="4" applyFont="1" applyFill="1" applyProtection="1"/>
    <xf numFmtId="0" fontId="7" fillId="0" borderId="4" xfId="4" applyFont="1" applyFill="1" applyBorder="1"/>
    <xf numFmtId="0" fontId="7" fillId="0" borderId="0" xfId="4" applyFont="1" applyFill="1" applyBorder="1"/>
    <xf numFmtId="0" fontId="7" fillId="0" borderId="5" xfId="4" applyFont="1" applyFill="1" applyBorder="1"/>
    <xf numFmtId="0" fontId="7" fillId="2" borderId="0" xfId="4" applyFont="1" applyFill="1" applyBorder="1"/>
    <xf numFmtId="0" fontId="7" fillId="2" borderId="6" xfId="4" applyFont="1" applyFill="1" applyBorder="1"/>
    <xf numFmtId="169" fontId="3" fillId="0" borderId="0" xfId="0" applyNumberFormat="1" applyFont="1"/>
    <xf numFmtId="169" fontId="3" fillId="0" borderId="5" xfId="0" applyNumberFormat="1" applyFont="1" applyBorder="1"/>
    <xf numFmtId="169" fontId="3" fillId="0" borderId="0" xfId="0" applyNumberFormat="1" applyFont="1" applyBorder="1"/>
    <xf numFmtId="0" fontId="7" fillId="0" borderId="7" xfId="4" applyFont="1" applyFill="1" applyBorder="1"/>
    <xf numFmtId="0" fontId="11" fillId="0" borderId="0" xfId="4" applyFont="1" applyFill="1"/>
    <xf numFmtId="9" fontId="7" fillId="0" borderId="5" xfId="3" applyFont="1" applyFill="1" applyBorder="1"/>
    <xf numFmtId="9" fontId="7" fillId="2" borderId="0" xfId="3" applyFont="1" applyFill="1" applyBorder="1"/>
    <xf numFmtId="9" fontId="7" fillId="2" borderId="6" xfId="3" applyFont="1" applyFill="1" applyBorder="1"/>
    <xf numFmtId="9" fontId="7" fillId="0" borderId="0" xfId="3" applyFont="1" applyFill="1" applyBorder="1"/>
    <xf numFmtId="164" fontId="7" fillId="0" borderId="0" xfId="2" applyNumberFormat="1" applyFont="1" applyFill="1" applyProtection="1"/>
    <xf numFmtId="164" fontId="7" fillId="0" borderId="4" xfId="2" applyNumberFormat="1" applyFont="1" applyFill="1" applyBorder="1" applyProtection="1"/>
    <xf numFmtId="164" fontId="7" fillId="0" borderId="0" xfId="2" applyNumberFormat="1" applyFont="1" applyFill="1" applyBorder="1" applyProtection="1"/>
    <xf numFmtId="164" fontId="7" fillId="0" borderId="5" xfId="2" applyNumberFormat="1" applyFont="1" applyFill="1" applyBorder="1" applyProtection="1"/>
    <xf numFmtId="164" fontId="7" fillId="2" borderId="0" xfId="2" applyNumberFormat="1" applyFont="1" applyFill="1" applyBorder="1" applyProtection="1"/>
    <xf numFmtId="9" fontId="7" fillId="2" borderId="6" xfId="3" applyFont="1" applyFill="1" applyBorder="1" applyProtection="1"/>
    <xf numFmtId="164" fontId="7" fillId="0" borderId="8" xfId="2" applyNumberFormat="1" applyFont="1" applyFill="1" applyBorder="1" applyProtection="1"/>
    <xf numFmtId="168" fontId="7" fillId="0" borderId="0" xfId="1" applyNumberFormat="1" applyFont="1" applyFill="1" applyProtection="1"/>
    <xf numFmtId="168" fontId="7" fillId="0" borderId="4" xfId="1" applyNumberFormat="1" applyFont="1" applyFill="1" applyBorder="1" applyProtection="1"/>
    <xf numFmtId="168" fontId="7" fillId="0" borderId="0" xfId="1" applyNumberFormat="1" applyFont="1" applyFill="1" applyBorder="1" applyProtection="1"/>
    <xf numFmtId="168" fontId="7" fillId="0" borderId="5" xfId="1" applyNumberFormat="1" applyFont="1" applyFill="1" applyBorder="1" applyProtection="1"/>
    <xf numFmtId="168" fontId="7" fillId="2" borderId="0" xfId="1" applyNumberFormat="1" applyFont="1" applyFill="1" applyBorder="1" applyProtection="1"/>
    <xf numFmtId="168" fontId="7" fillId="0" borderId="8" xfId="1" applyNumberFormat="1" applyFont="1" applyFill="1" applyBorder="1" applyProtection="1"/>
    <xf numFmtId="168" fontId="7" fillId="0" borderId="4" xfId="4" applyNumberFormat="1" applyFont="1" applyFill="1" applyBorder="1" applyProtection="1"/>
    <xf numFmtId="168" fontId="7" fillId="0" borderId="0" xfId="4" applyNumberFormat="1" applyFont="1" applyFill="1" applyBorder="1" applyProtection="1"/>
    <xf numFmtId="168" fontId="7" fillId="0" borderId="5" xfId="4" applyNumberFormat="1" applyFont="1" applyFill="1" applyBorder="1" applyProtection="1"/>
    <xf numFmtId="168" fontId="7" fillId="0" borderId="8" xfId="4" applyNumberFormat="1" applyFont="1" applyFill="1" applyBorder="1" applyProtection="1"/>
    <xf numFmtId="168" fontId="7" fillId="0" borderId="0" xfId="4" applyNumberFormat="1" applyFont="1" applyFill="1" applyProtection="1"/>
    <xf numFmtId="10" fontId="7" fillId="0" borderId="0" xfId="3" applyNumberFormat="1" applyFont="1" applyFill="1"/>
    <xf numFmtId="168" fontId="7" fillId="0" borderId="0" xfId="4" applyNumberFormat="1" applyFont="1" applyFill="1"/>
    <xf numFmtId="168" fontId="7" fillId="0" borderId="9" xfId="1" applyNumberFormat="1" applyFont="1" applyFill="1" applyBorder="1" applyProtection="1"/>
    <xf numFmtId="168" fontId="7" fillId="0" borderId="10" xfId="1" applyNumberFormat="1" applyFont="1" applyFill="1" applyBorder="1" applyProtection="1"/>
    <xf numFmtId="168" fontId="7" fillId="0" borderId="11" xfId="1" applyNumberFormat="1" applyFont="1" applyFill="1" applyBorder="1" applyProtection="1"/>
    <xf numFmtId="168" fontId="7" fillId="2" borderId="9" xfId="1" applyNumberFormat="1" applyFont="1" applyFill="1" applyBorder="1" applyProtection="1"/>
    <xf numFmtId="9" fontId="7" fillId="2" borderId="12" xfId="3" applyFont="1" applyFill="1" applyBorder="1" applyProtection="1"/>
    <xf numFmtId="168" fontId="7" fillId="0" borderId="13" xfId="1" applyNumberFormat="1" applyFont="1" applyFill="1" applyBorder="1" applyProtection="1"/>
    <xf numFmtId="0" fontId="7" fillId="0" borderId="4" xfId="4" applyFont="1" applyFill="1" applyBorder="1" applyProtection="1"/>
    <xf numFmtId="0" fontId="7" fillId="0" borderId="0" xfId="4" applyFont="1" applyFill="1" applyBorder="1" applyProtection="1"/>
    <xf numFmtId="0" fontId="7" fillId="0" borderId="5" xfId="4" applyFont="1" applyFill="1" applyBorder="1" applyProtection="1"/>
    <xf numFmtId="0" fontId="7" fillId="2" borderId="0" xfId="4" applyFont="1" applyFill="1" applyBorder="1" applyProtection="1"/>
    <xf numFmtId="0" fontId="7" fillId="2" borderId="6" xfId="4" applyFont="1" applyFill="1" applyBorder="1" applyProtection="1"/>
    <xf numFmtId="0" fontId="7" fillId="0" borderId="8" xfId="4" applyFont="1" applyFill="1" applyBorder="1" applyProtection="1"/>
    <xf numFmtId="0" fontId="6" fillId="0" borderId="0" xfId="4" applyFont="1" applyFill="1" applyAlignment="1"/>
    <xf numFmtId="164" fontId="7" fillId="0" borderId="14" xfId="2" applyNumberFormat="1" applyFont="1" applyFill="1" applyBorder="1" applyProtection="1"/>
    <xf numFmtId="164" fontId="7" fillId="0" borderId="15" xfId="2" applyNumberFormat="1" applyFont="1" applyFill="1" applyBorder="1" applyProtection="1"/>
    <xf numFmtId="164" fontId="7" fillId="0" borderId="16" xfId="2" applyNumberFormat="1" applyFont="1" applyFill="1" applyBorder="1" applyProtection="1"/>
    <xf numFmtId="164" fontId="7" fillId="2" borderId="14" xfId="2" applyNumberFormat="1" applyFont="1" applyFill="1" applyBorder="1" applyProtection="1"/>
    <xf numFmtId="9" fontId="7" fillId="2" borderId="17" xfId="3" applyFont="1" applyFill="1" applyBorder="1" applyProtection="1"/>
    <xf numFmtId="164" fontId="7" fillId="0" borderId="18" xfId="2" applyNumberFormat="1" applyFont="1" applyFill="1" applyBorder="1" applyProtection="1"/>
    <xf numFmtId="0" fontId="7" fillId="0" borderId="8" xfId="4" applyFont="1" applyFill="1" applyBorder="1"/>
    <xf numFmtId="0" fontId="0" fillId="0" borderId="5" xfId="0" applyBorder="1"/>
    <xf numFmtId="165" fontId="7" fillId="0" borderId="14" xfId="3" applyNumberFormat="1" applyFont="1" applyFill="1" applyBorder="1" applyProtection="1"/>
    <xf numFmtId="165" fontId="7" fillId="0" borderId="15" xfId="3" applyNumberFormat="1" applyFont="1" applyFill="1" applyBorder="1" applyProtection="1"/>
    <xf numFmtId="165" fontId="7" fillId="0" borderId="16" xfId="3" applyNumberFormat="1" applyFont="1" applyFill="1" applyBorder="1" applyProtection="1"/>
    <xf numFmtId="165" fontId="7" fillId="2" borderId="14" xfId="3" applyNumberFormat="1" applyFont="1" applyFill="1" applyBorder="1" applyProtection="1"/>
    <xf numFmtId="165" fontId="7" fillId="2" borderId="17" xfId="3" applyNumberFormat="1" applyFont="1" applyFill="1" applyBorder="1" applyProtection="1"/>
    <xf numFmtId="165" fontId="7" fillId="0" borderId="18" xfId="3" applyNumberFormat="1" applyFont="1" applyFill="1" applyBorder="1" applyProtection="1"/>
    <xf numFmtId="170" fontId="7" fillId="0" borderId="0" xfId="4" applyNumberFormat="1" applyFont="1" applyFill="1"/>
    <xf numFmtId="43" fontId="7" fillId="0" borderId="0" xfId="4" applyNumberFormat="1" applyFont="1" applyFill="1"/>
    <xf numFmtId="164" fontId="7" fillId="0" borderId="0" xfId="2" applyNumberFormat="1" applyFont="1" applyFill="1"/>
    <xf numFmtId="164" fontId="7" fillId="0" borderId="4" xfId="2" applyNumberFormat="1" applyFont="1" applyFill="1" applyBorder="1"/>
    <xf numFmtId="164" fontId="7" fillId="0" borderId="0" xfId="2" applyNumberFormat="1" applyFont="1" applyFill="1" applyBorder="1"/>
    <xf numFmtId="164" fontId="7" fillId="0" borderId="5" xfId="2" applyNumberFormat="1" applyFont="1" applyFill="1" applyBorder="1"/>
    <xf numFmtId="164" fontId="7" fillId="0" borderId="8" xfId="2" applyNumberFormat="1" applyFont="1" applyFill="1" applyBorder="1"/>
    <xf numFmtId="168" fontId="7" fillId="0" borderId="0" xfId="1" applyNumberFormat="1" applyFont="1" applyFill="1"/>
    <xf numFmtId="168" fontId="7" fillId="0" borderId="4" xfId="1" applyNumberFormat="1" applyFont="1" applyFill="1" applyBorder="1"/>
    <xf numFmtId="168" fontId="7" fillId="0" borderId="0" xfId="1" applyNumberFormat="1" applyFont="1" applyFill="1" applyBorder="1"/>
    <xf numFmtId="168" fontId="7" fillId="0" borderId="5" xfId="1" applyNumberFormat="1" applyFont="1" applyFill="1" applyBorder="1"/>
    <xf numFmtId="168" fontId="7" fillId="0" borderId="8" xfId="1" applyNumberFormat="1" applyFont="1" applyFill="1" applyBorder="1"/>
    <xf numFmtId="164" fontId="7" fillId="0" borderId="0" xfId="3" applyNumberFormat="1" applyFont="1" applyFill="1"/>
    <xf numFmtId="0" fontId="0" fillId="0" borderId="0" xfId="0" applyBorder="1"/>
    <xf numFmtId="168" fontId="7" fillId="0" borderId="9" xfId="1" applyNumberFormat="1" applyFont="1" applyFill="1" applyBorder="1"/>
    <xf numFmtId="9" fontId="7" fillId="0" borderId="9" xfId="3" applyFont="1" applyFill="1" applyBorder="1"/>
    <xf numFmtId="168" fontId="7" fillId="0" borderId="11" xfId="1" applyNumberFormat="1" applyFont="1" applyFill="1" applyBorder="1"/>
    <xf numFmtId="168" fontId="7" fillId="0" borderId="13" xfId="1" applyNumberFormat="1" applyFont="1" applyFill="1" applyBorder="1"/>
    <xf numFmtId="168" fontId="7" fillId="2" borderId="0" xfId="1" applyNumberFormat="1" applyFont="1" applyFill="1" applyBorder="1"/>
    <xf numFmtId="168" fontId="7" fillId="2" borderId="6" xfId="1" applyNumberFormat="1" applyFont="1" applyFill="1" applyBorder="1"/>
    <xf numFmtId="168" fontId="6" fillId="0" borderId="9" xfId="1" applyNumberFormat="1" applyFont="1" applyFill="1" applyBorder="1" applyProtection="1"/>
    <xf numFmtId="168" fontId="6" fillId="0" borderId="9" xfId="1" applyNumberFormat="1" applyFont="1" applyFill="1" applyBorder="1"/>
    <xf numFmtId="9" fontId="6" fillId="0" borderId="9" xfId="3" applyFont="1" applyFill="1" applyBorder="1"/>
    <xf numFmtId="168" fontId="6" fillId="0" borderId="11" xfId="1" applyNumberFormat="1" applyFont="1" applyFill="1" applyBorder="1"/>
    <xf numFmtId="168" fontId="6" fillId="2" borderId="9" xfId="1" applyNumberFormat="1" applyFont="1" applyFill="1" applyBorder="1"/>
    <xf numFmtId="9" fontId="6" fillId="2" borderId="12" xfId="3" applyFont="1" applyFill="1" applyBorder="1" applyProtection="1"/>
    <xf numFmtId="168" fontId="6" fillId="0" borderId="13" xfId="1" applyNumberFormat="1" applyFont="1" applyFill="1" applyBorder="1"/>
    <xf numFmtId="0" fontId="6" fillId="0" borderId="0" xfId="4" applyFont="1" applyFill="1" applyAlignment="1">
      <alignment wrapText="1"/>
    </xf>
    <xf numFmtId="168" fontId="7" fillId="3" borderId="0" xfId="1" applyNumberFormat="1" applyFont="1" applyFill="1" applyBorder="1"/>
    <xf numFmtId="9" fontId="7" fillId="3" borderId="0" xfId="3" applyFont="1" applyFill="1" applyBorder="1"/>
    <xf numFmtId="171" fontId="7" fillId="0" borderId="0" xfId="1" applyNumberFormat="1" applyFont="1" applyFill="1" applyProtection="1"/>
    <xf numFmtId="9" fontId="7" fillId="0" borderId="0" xfId="3" applyFont="1" applyFill="1" applyProtection="1"/>
    <xf numFmtId="9" fontId="7" fillId="0" borderId="0" xfId="3" applyFont="1" applyFill="1" applyBorder="1" applyProtection="1"/>
    <xf numFmtId="9" fontId="7" fillId="0" borderId="5" xfId="3" applyFont="1" applyFill="1" applyBorder="1" applyProtection="1"/>
    <xf numFmtId="9" fontId="7" fillId="2" borderId="0" xfId="3" applyFont="1" applyFill="1" applyBorder="1" applyProtection="1"/>
    <xf numFmtId="9" fontId="7" fillId="0" borderId="8" xfId="3" applyFont="1" applyFill="1" applyBorder="1" applyProtection="1"/>
    <xf numFmtId="171" fontId="7" fillId="0" borderId="0" xfId="1" applyNumberFormat="1" applyFont="1" applyFill="1"/>
    <xf numFmtId="171" fontId="7" fillId="0" borderId="5" xfId="1" applyNumberFormat="1" applyFont="1" applyFill="1" applyBorder="1"/>
    <xf numFmtId="171" fontId="7" fillId="0" borderId="0" xfId="1" applyNumberFormat="1" applyFont="1" applyFill="1" applyBorder="1"/>
    <xf numFmtId="171" fontId="7" fillId="0" borderId="0" xfId="4" applyNumberFormat="1" applyFont="1" applyFill="1"/>
    <xf numFmtId="171" fontId="7" fillId="0" borderId="9" xfId="1" applyNumberFormat="1" applyFont="1" applyFill="1" applyBorder="1"/>
    <xf numFmtId="171" fontId="7" fillId="0" borderId="11" xfId="1" applyNumberFormat="1" applyFont="1" applyFill="1" applyBorder="1"/>
    <xf numFmtId="0" fontId="17" fillId="0" borderId="0" xfId="4" applyFont="1" applyFill="1"/>
    <xf numFmtId="166" fontId="7" fillId="0" borderId="0" xfId="4" applyNumberFormat="1" applyFont="1" applyFill="1"/>
    <xf numFmtId="0" fontId="6" fillId="0" borderId="0" xfId="4" applyFont="1" applyFill="1" applyBorder="1"/>
    <xf numFmtId="0" fontId="7" fillId="3" borderId="0" xfId="4" applyFont="1" applyFill="1" applyBorder="1"/>
    <xf numFmtId="0" fontId="7" fillId="0" borderId="0" xfId="4" applyFont="1" applyFill="1" applyAlignment="1">
      <alignment horizontal="left"/>
    </xf>
    <xf numFmtId="0" fontId="18" fillId="0" borderId="0" xfId="4" applyFont="1" applyFill="1" applyProtection="1"/>
    <xf numFmtId="37" fontId="7" fillId="0" borderId="0" xfId="4" applyNumberFormat="1" applyFont="1" applyFill="1" applyProtection="1"/>
    <xf numFmtId="0" fontId="18" fillId="0" borderId="0" xfId="4" applyFont="1" applyFill="1" applyBorder="1"/>
    <xf numFmtId="0" fontId="17" fillId="0" borderId="0" xfId="4" applyFont="1" applyFill="1" applyBorder="1"/>
    <xf numFmtId="0" fontId="18" fillId="3" borderId="0" xfId="4" applyFont="1" applyFill="1" applyBorder="1"/>
    <xf numFmtId="9" fontId="18" fillId="3" borderId="0" xfId="3" applyFont="1" applyFill="1" applyBorder="1"/>
    <xf numFmtId="0" fontId="18" fillId="0" borderId="5" xfId="4" applyFont="1" applyFill="1" applyBorder="1"/>
    <xf numFmtId="0" fontId="18" fillId="2" borderId="0" xfId="4" applyFont="1" applyFill="1" applyBorder="1"/>
    <xf numFmtId="0" fontId="18" fillId="2" borderId="6" xfId="4" applyFont="1" applyFill="1" applyBorder="1"/>
    <xf numFmtId="0" fontId="18" fillId="0" borderId="8" xfId="4" applyFont="1" applyFill="1" applyBorder="1"/>
    <xf numFmtId="0" fontId="18" fillId="0" borderId="0" xfId="4" applyFont="1" applyFill="1"/>
    <xf numFmtId="37" fontId="7" fillId="0" borderId="0" xfId="4" applyNumberFormat="1" applyFont="1" applyFill="1" applyBorder="1"/>
    <xf numFmtId="37" fontId="6" fillId="0" borderId="0" xfId="4" applyNumberFormat="1" applyFont="1" applyFill="1" applyBorder="1"/>
    <xf numFmtId="37" fontId="7" fillId="3" borderId="0" xfId="4" applyNumberFormat="1" applyFont="1" applyFill="1" applyBorder="1"/>
    <xf numFmtId="37" fontId="7" fillId="0" borderId="5" xfId="4" applyNumberFormat="1" applyFont="1" applyFill="1" applyBorder="1"/>
    <xf numFmtId="37" fontId="7" fillId="2" borderId="0" xfId="4" applyNumberFormat="1" applyFont="1" applyFill="1" applyBorder="1"/>
    <xf numFmtId="37" fontId="7" fillId="2" borderId="6" xfId="4" applyNumberFormat="1" applyFont="1" applyFill="1" applyBorder="1"/>
    <xf numFmtId="37" fontId="7" fillId="0" borderId="8" xfId="4" applyNumberFormat="1" applyFont="1" applyFill="1" applyBorder="1"/>
    <xf numFmtId="37" fontId="7" fillId="0" borderId="0" xfId="4" applyNumberFormat="1" applyFont="1" applyFill="1"/>
    <xf numFmtId="37" fontId="6" fillId="0" borderId="19" xfId="4" applyNumberFormat="1" applyFont="1" applyFill="1" applyBorder="1" applyProtection="1"/>
    <xf numFmtId="37" fontId="6" fillId="0" borderId="19" xfId="4" applyNumberFormat="1" applyFont="1" applyFill="1" applyBorder="1"/>
    <xf numFmtId="37" fontId="6" fillId="3" borderId="19" xfId="4" applyNumberFormat="1" applyFont="1" applyFill="1" applyBorder="1"/>
    <xf numFmtId="9" fontId="6" fillId="3" borderId="19" xfId="3" applyFont="1" applyFill="1" applyBorder="1"/>
    <xf numFmtId="37" fontId="6" fillId="0" borderId="20" xfId="4" applyNumberFormat="1" applyFont="1" applyFill="1" applyBorder="1"/>
    <xf numFmtId="37" fontId="6" fillId="2" borderId="19" xfId="4" applyNumberFormat="1" applyFont="1" applyFill="1" applyBorder="1"/>
    <xf numFmtId="37" fontId="6" fillId="2" borderId="21" xfId="4" applyNumberFormat="1" applyFont="1" applyFill="1" applyBorder="1"/>
    <xf numFmtId="37" fontId="6" fillId="0" borderId="22" xfId="4" applyNumberFormat="1" applyFont="1" applyFill="1" applyBorder="1"/>
    <xf numFmtId="38" fontId="7" fillId="0" borderId="0" xfId="4" applyNumberFormat="1" applyFont="1" applyFill="1" applyProtection="1"/>
    <xf numFmtId="38" fontId="7" fillId="0" borderId="0" xfId="4" applyNumberFormat="1" applyFont="1" applyFill="1" applyBorder="1"/>
    <xf numFmtId="38" fontId="6" fillId="0" borderId="0" xfId="4" applyNumberFormat="1" applyFont="1" applyFill="1" applyBorder="1"/>
    <xf numFmtId="38" fontId="7" fillId="3" borderId="0" xfId="4" applyNumberFormat="1" applyFont="1" applyFill="1" applyBorder="1"/>
    <xf numFmtId="38" fontId="7" fillId="0" borderId="5" xfId="4" applyNumberFormat="1" applyFont="1" applyFill="1" applyBorder="1"/>
    <xf numFmtId="38" fontId="7" fillId="2" borderId="0" xfId="4" applyNumberFormat="1" applyFont="1" applyFill="1" applyBorder="1"/>
    <xf numFmtId="38" fontId="7" fillId="2" borderId="6" xfId="4" applyNumberFormat="1" applyFont="1" applyFill="1" applyBorder="1"/>
    <xf numFmtId="38" fontId="7" fillId="0" borderId="8" xfId="4" applyNumberFormat="1" applyFont="1" applyFill="1" applyBorder="1"/>
    <xf numFmtId="38" fontId="7" fillId="0" borderId="0" xfId="4" applyNumberFormat="1" applyFont="1" applyFill="1"/>
    <xf numFmtId="10" fontId="7" fillId="0" borderId="0" xfId="4" applyNumberFormat="1" applyFont="1" applyFill="1" applyProtection="1"/>
    <xf numFmtId="10" fontId="7" fillId="0" borderId="0" xfId="4" applyNumberFormat="1" applyFont="1" applyFill="1" applyBorder="1"/>
    <xf numFmtId="10" fontId="6" fillId="0" borderId="0" xfId="4" applyNumberFormat="1" applyFont="1" applyFill="1" applyBorder="1"/>
    <xf numFmtId="10" fontId="7" fillId="3" borderId="0" xfId="4" applyNumberFormat="1" applyFont="1" applyFill="1" applyBorder="1"/>
    <xf numFmtId="10" fontId="7" fillId="0" borderId="5" xfId="4" applyNumberFormat="1" applyFont="1" applyFill="1" applyBorder="1"/>
    <xf numFmtId="10" fontId="7" fillId="2" borderId="0" xfId="4" applyNumberFormat="1" applyFont="1" applyFill="1" applyBorder="1"/>
    <xf numFmtId="10" fontId="7" fillId="2" borderId="6" xfId="4" applyNumberFormat="1" applyFont="1" applyFill="1" applyBorder="1"/>
    <xf numFmtId="10" fontId="7" fillId="0" borderId="8" xfId="4" applyNumberFormat="1" applyFont="1" applyFill="1" applyBorder="1"/>
    <xf numFmtId="10" fontId="7" fillId="0" borderId="0" xfId="4" applyNumberFormat="1" applyFont="1" applyFill="1"/>
    <xf numFmtId="164" fontId="6" fillId="0" borderId="14" xfId="2" applyNumberFormat="1" applyFont="1" applyFill="1" applyBorder="1"/>
    <xf numFmtId="9" fontId="6" fillId="0" borderId="14" xfId="3" applyFont="1" applyFill="1" applyBorder="1"/>
    <xf numFmtId="164" fontId="6" fillId="0" borderId="16" xfId="2" applyNumberFormat="1" applyFont="1" applyFill="1" applyBorder="1"/>
    <xf numFmtId="164" fontId="6" fillId="2" borderId="14" xfId="2" applyNumberFormat="1" applyFont="1" applyFill="1" applyBorder="1"/>
    <xf numFmtId="9" fontId="6" fillId="2" borderId="17" xfId="3" applyFont="1" applyFill="1" applyBorder="1" applyProtection="1"/>
    <xf numFmtId="164" fontId="6" fillId="0" borderId="18" xfId="2" applyNumberFormat="1" applyFont="1" applyFill="1" applyBorder="1"/>
    <xf numFmtId="38" fontId="6" fillId="0" borderId="0" xfId="5" applyNumberFormat="1" applyFont="1" applyFill="1"/>
    <xf numFmtId="164" fontId="7" fillId="0" borderId="0" xfId="4" applyNumberFormat="1" applyFont="1" applyFill="1" applyBorder="1"/>
    <xf numFmtId="0" fontId="7" fillId="2" borderId="0" xfId="4" applyFont="1" applyFill="1" applyBorder="1" applyAlignment="1">
      <alignment horizontal="center" wrapText="1"/>
    </xf>
    <xf numFmtId="0" fontId="7" fillId="0" borderId="8" xfId="4" applyFont="1" applyFill="1" applyBorder="1" applyAlignment="1">
      <alignment horizontal="center" wrapText="1"/>
    </xf>
    <xf numFmtId="44" fontId="7" fillId="0" borderId="0" xfId="4" applyNumberFormat="1" applyFont="1" applyFill="1" applyBorder="1"/>
    <xf numFmtId="0" fontId="6" fillId="0" borderId="0" xfId="4" applyFont="1" applyFill="1" applyAlignment="1">
      <alignment horizontal="left" indent="2"/>
    </xf>
    <xf numFmtId="0" fontId="19" fillId="0" borderId="0" xfId="4" applyFont="1" applyFill="1" applyBorder="1"/>
    <xf numFmtId="37" fontId="7" fillId="0" borderId="0" xfId="2" applyNumberFormat="1" applyFont="1" applyFill="1" applyBorder="1"/>
    <xf numFmtId="37" fontId="7" fillId="0" borderId="5" xfId="2" applyNumberFormat="1" applyFont="1" applyFill="1" applyBorder="1"/>
    <xf numFmtId="37" fontId="7" fillId="0" borderId="8" xfId="2" applyNumberFormat="1" applyFont="1" applyFill="1" applyBorder="1"/>
    <xf numFmtId="168" fontId="7" fillId="0" borderId="0" xfId="6" applyNumberFormat="1" applyFont="1" applyFill="1" applyBorder="1"/>
    <xf numFmtId="168" fontId="7" fillId="0" borderId="0" xfId="6" applyNumberFormat="1" applyFont="1" applyFill="1"/>
    <xf numFmtId="168" fontId="20" fillId="0" borderId="0" xfId="1" applyNumberFormat="1" applyFont="1" applyFill="1"/>
    <xf numFmtId="168" fontId="20" fillId="0" borderId="0" xfId="1" applyNumberFormat="1" applyFont="1" applyFill="1" applyBorder="1"/>
    <xf numFmtId="168" fontId="20" fillId="0" borderId="5" xfId="1" applyNumberFormat="1" applyFont="1" applyFill="1" applyBorder="1"/>
    <xf numFmtId="168" fontId="7" fillId="3" borderId="9" xfId="1" applyNumberFormat="1" applyFont="1" applyFill="1" applyBorder="1"/>
    <xf numFmtId="168" fontId="7" fillId="2" borderId="9" xfId="1" applyNumberFormat="1" applyFont="1" applyFill="1" applyBorder="1"/>
    <xf numFmtId="168" fontId="20" fillId="0" borderId="9" xfId="1" applyNumberFormat="1" applyFont="1" applyFill="1" applyBorder="1"/>
    <xf numFmtId="164" fontId="7" fillId="0" borderId="14" xfId="2" applyNumberFormat="1" applyFont="1" applyFill="1" applyBorder="1"/>
    <xf numFmtId="164" fontId="7" fillId="0" borderId="16" xfId="2" applyNumberFormat="1" applyFont="1" applyFill="1" applyBorder="1"/>
    <xf numFmtId="164" fontId="7" fillId="2" borderId="14" xfId="2" applyNumberFormat="1" applyFont="1" applyFill="1" applyBorder="1"/>
    <xf numFmtId="164" fontId="7" fillId="0" borderId="18" xfId="2" applyNumberFormat="1" applyFont="1" applyFill="1" applyBorder="1"/>
    <xf numFmtId="164" fontId="7" fillId="0" borderId="0" xfId="4" applyNumberFormat="1" applyFont="1" applyFill="1"/>
    <xf numFmtId="164" fontId="7" fillId="0" borderId="14" xfId="4" applyNumberFormat="1" applyFont="1" applyFill="1" applyBorder="1"/>
    <xf numFmtId="164" fontId="21" fillId="0" borderId="14" xfId="4" applyNumberFormat="1" applyFont="1" applyFill="1" applyBorder="1"/>
    <xf numFmtId="164" fontId="7" fillId="0" borderId="16" xfId="4" applyNumberFormat="1" applyFont="1" applyFill="1" applyBorder="1"/>
    <xf numFmtId="164" fontId="7" fillId="2" borderId="14" xfId="4" applyNumberFormat="1" applyFont="1" applyFill="1" applyBorder="1"/>
    <xf numFmtId="164" fontId="7" fillId="0" borderId="18" xfId="4" applyNumberFormat="1" applyFont="1" applyFill="1" applyBorder="1"/>
    <xf numFmtId="6" fontId="7" fillId="0" borderId="16" xfId="4" applyNumberFormat="1" applyFont="1" applyFill="1" applyBorder="1"/>
    <xf numFmtId="0" fontId="19" fillId="0" borderId="0" xfId="4" applyFont="1" applyFill="1"/>
    <xf numFmtId="164" fontId="7" fillId="0" borderId="5" xfId="4" applyNumberFormat="1" applyFont="1" applyFill="1" applyBorder="1"/>
    <xf numFmtId="164" fontId="7" fillId="2" borderId="0" xfId="4" applyNumberFormat="1" applyFont="1" applyFill="1" applyBorder="1"/>
    <xf numFmtId="164" fontId="7" fillId="0" borderId="8" xfId="4" applyNumberFormat="1" applyFont="1" applyFill="1" applyBorder="1"/>
    <xf numFmtId="164" fontId="7" fillId="0" borderId="23" xfId="4" applyNumberFormat="1" applyFont="1" applyFill="1" applyBorder="1"/>
    <xf numFmtId="164" fontId="7" fillId="0" borderId="24" xfId="4" applyNumberFormat="1" applyFont="1" applyFill="1" applyBorder="1"/>
    <xf numFmtId="164" fontId="7" fillId="2" borderId="24" xfId="4" applyNumberFormat="1" applyFont="1" applyFill="1" applyBorder="1"/>
    <xf numFmtId="9" fontId="7" fillId="2" borderId="25" xfId="3" applyFont="1" applyFill="1" applyBorder="1" applyProtection="1"/>
    <xf numFmtId="164" fontId="7" fillId="0" borderId="26" xfId="4" applyNumberFormat="1" applyFont="1" applyFill="1" applyBorder="1"/>
    <xf numFmtId="164" fontId="7" fillId="0" borderId="27" xfId="4" applyNumberFormat="1" applyFont="1" applyFill="1" applyBorder="1"/>
    <xf numFmtId="164" fontId="7" fillId="0" borderId="28" xfId="4" applyNumberFormat="1" applyFont="1" applyFill="1" applyBorder="1"/>
    <xf numFmtId="164" fontId="7" fillId="2" borderId="28" xfId="4" applyNumberFormat="1" applyFont="1" applyFill="1" applyBorder="1"/>
    <xf numFmtId="0" fontId="0" fillId="0" borderId="6" xfId="0" applyBorder="1"/>
    <xf numFmtId="0" fontId="7" fillId="0" borderId="0" xfId="0" applyFont="1" applyBorder="1"/>
    <xf numFmtId="0" fontId="1" fillId="0" borderId="0" xfId="0" applyFont="1" applyFill="1" applyBorder="1"/>
    <xf numFmtId="0" fontId="1" fillId="0" borderId="0" xfId="0" applyFont="1" applyBorder="1"/>
    <xf numFmtId="164" fontId="7" fillId="0" borderId="31" xfId="2" applyNumberFormat="1" applyFont="1" applyFill="1" applyBorder="1"/>
    <xf numFmtId="164" fontId="7" fillId="0" borderId="32" xfId="2" applyNumberFormat="1" applyFont="1" applyFill="1" applyBorder="1"/>
    <xf numFmtId="0" fontId="0" fillId="0" borderId="32" xfId="0" applyBorder="1"/>
    <xf numFmtId="0" fontId="0" fillId="0" borderId="33" xfId="0" applyBorder="1"/>
    <xf numFmtId="164" fontId="7" fillId="0" borderId="32" xfId="4" applyNumberFormat="1" applyFont="1" applyFill="1" applyBorder="1"/>
    <xf numFmtId="168" fontId="1" fillId="0" borderId="0" xfId="1" applyNumberFormat="1" applyFont="1" applyBorder="1"/>
    <xf numFmtId="164" fontId="7" fillId="0" borderId="0" xfId="4" applyNumberFormat="1" applyFont="1" applyFill="1" applyAlignment="1">
      <alignment horizontal="center" wrapText="1"/>
    </xf>
    <xf numFmtId="164" fontId="6" fillId="0" borderId="24" xfId="4" applyNumberFormat="1" applyFont="1" applyFill="1" applyBorder="1" applyAlignment="1">
      <alignment horizontal="center" wrapText="1"/>
    </xf>
    <xf numFmtId="0" fontId="6" fillId="0" borderId="24" xfId="4" applyFont="1" applyFill="1" applyBorder="1" applyAlignment="1">
      <alignment horizontal="center" wrapText="1"/>
    </xf>
    <xf numFmtId="0" fontId="6" fillId="0" borderId="30" xfId="4" applyFont="1" applyFill="1" applyBorder="1" applyAlignment="1">
      <alignment horizontal="center" wrapText="1"/>
    </xf>
    <xf numFmtId="0" fontId="1" fillId="3" borderId="0" xfId="0" applyFont="1" applyFill="1" applyBorder="1"/>
    <xf numFmtId="0" fontId="1" fillId="0" borderId="4" xfId="0" applyFont="1" applyFill="1" applyBorder="1"/>
    <xf numFmtId="0" fontId="1" fillId="2" borderId="0" xfId="0" applyFont="1" applyFill="1" applyBorder="1"/>
    <xf numFmtId="0" fontId="1" fillId="0" borderId="8" xfId="0" applyFont="1" applyFill="1" applyBorder="1"/>
    <xf numFmtId="9" fontId="7" fillId="0" borderId="0" xfId="4" applyNumberFormat="1" applyFont="1" applyFill="1" applyBorder="1"/>
    <xf numFmtId="164" fontId="7" fillId="0" borderId="15" xfId="2" applyNumberFormat="1" applyFont="1" applyFill="1" applyBorder="1"/>
    <xf numFmtId="9" fontId="7" fillId="2" borderId="14" xfId="3" applyFont="1" applyFill="1" applyBorder="1"/>
    <xf numFmtId="168" fontId="7" fillId="0" borderId="10" xfId="1" applyNumberFormat="1" applyFont="1" applyFill="1" applyBorder="1"/>
    <xf numFmtId="9" fontId="7" fillId="2" borderId="9" xfId="3" applyFont="1" applyFill="1" applyBorder="1" applyProtection="1"/>
    <xf numFmtId="43" fontId="1" fillId="0" borderId="0" xfId="1" applyFont="1" applyBorder="1"/>
    <xf numFmtId="43" fontId="7" fillId="0" borderId="0" xfId="4" applyNumberFormat="1" applyFont="1" applyFill="1" applyBorder="1"/>
    <xf numFmtId="164" fontId="7" fillId="3" borderId="0" xfId="2" applyNumberFormat="1" applyFont="1" applyFill="1" applyBorder="1"/>
    <xf numFmtId="168" fontId="7" fillId="0" borderId="0" xfId="4" applyNumberFormat="1" applyFont="1" applyFill="1" applyBorder="1"/>
    <xf numFmtId="43" fontId="1" fillId="0" borderId="0" xfId="0" applyNumberFormat="1" applyFont="1" applyBorder="1"/>
    <xf numFmtId="0" fontId="1" fillId="0" borderId="0" xfId="0" applyFont="1"/>
    <xf numFmtId="164" fontId="1" fillId="0" borderId="0" xfId="0" applyNumberFormat="1" applyFont="1"/>
    <xf numFmtId="165" fontId="1" fillId="0" borderId="0" xfId="3" applyNumberFormat="1" applyFont="1"/>
    <xf numFmtId="168" fontId="1" fillId="0" borderId="0" xfId="0" applyNumberFormat="1" applyFont="1"/>
    <xf numFmtId="165" fontId="22" fillId="0" borderId="0" xfId="3" applyNumberFormat="1" applyFont="1" applyFill="1"/>
    <xf numFmtId="0" fontId="6" fillId="0" borderId="0" xfId="4" applyFont="1" applyFill="1" applyBorder="1" applyAlignment="1">
      <alignment horizontal="left" indent="1"/>
    </xf>
    <xf numFmtId="168" fontId="1" fillId="0" borderId="0" xfId="1" applyNumberFormat="1" applyFont="1"/>
    <xf numFmtId="0" fontId="0" fillId="0" borderId="0" xfId="0" applyFont="1"/>
    <xf numFmtId="0" fontId="7" fillId="0" borderId="6" xfId="4" applyFont="1" applyFill="1" applyBorder="1" applyAlignment="1">
      <alignment horizontal="center" wrapText="1"/>
    </xf>
    <xf numFmtId="169" fontId="3" fillId="0" borderId="6" xfId="0" applyNumberFormat="1" applyFont="1" applyBorder="1"/>
    <xf numFmtId="9" fontId="7" fillId="0" borderId="6" xfId="3" applyFont="1" applyFill="1" applyBorder="1"/>
    <xf numFmtId="168" fontId="7" fillId="0" borderId="6" xfId="1" applyNumberFormat="1" applyFont="1" applyFill="1" applyBorder="1" applyProtection="1"/>
    <xf numFmtId="168" fontId="7" fillId="0" borderId="6" xfId="4" applyNumberFormat="1" applyFont="1" applyFill="1" applyBorder="1" applyProtection="1"/>
    <xf numFmtId="168" fontId="7" fillId="0" borderId="12" xfId="1" applyNumberFormat="1" applyFont="1" applyFill="1" applyBorder="1" applyProtection="1"/>
    <xf numFmtId="0" fontId="7" fillId="0" borderId="6" xfId="4" applyFont="1" applyFill="1" applyBorder="1" applyProtection="1"/>
    <xf numFmtId="164" fontId="7" fillId="0" borderId="17" xfId="2" applyNumberFormat="1" applyFont="1" applyFill="1" applyBorder="1" applyProtection="1"/>
    <xf numFmtId="0" fontId="7" fillId="0" borderId="6" xfId="4" applyFont="1" applyFill="1" applyBorder="1"/>
    <xf numFmtId="165" fontId="7" fillId="0" borderId="17" xfId="3" applyNumberFormat="1" applyFont="1" applyFill="1" applyBorder="1" applyProtection="1"/>
    <xf numFmtId="168" fontId="7" fillId="0" borderId="6" xfId="1" applyNumberFormat="1" applyFont="1" applyFill="1" applyBorder="1"/>
    <xf numFmtId="168" fontId="7" fillId="0" borderId="12" xfId="1" applyNumberFormat="1" applyFont="1" applyFill="1" applyBorder="1"/>
    <xf numFmtId="168" fontId="6" fillId="0" borderId="12" xfId="1" applyNumberFormat="1" applyFont="1" applyFill="1" applyBorder="1"/>
    <xf numFmtId="168" fontId="7" fillId="3" borderId="6" xfId="1" applyNumberFormat="1" applyFont="1" applyFill="1" applyBorder="1"/>
    <xf numFmtId="171" fontId="7" fillId="0" borderId="6" xfId="1" applyNumberFormat="1" applyFont="1" applyFill="1" applyBorder="1"/>
    <xf numFmtId="0" fontId="18" fillId="0" borderId="6" xfId="4" applyFont="1" applyFill="1" applyBorder="1"/>
    <xf numFmtId="37" fontId="7" fillId="0" borderId="6" xfId="4" applyNumberFormat="1" applyFont="1" applyFill="1" applyBorder="1"/>
    <xf numFmtId="37" fontId="6" fillId="0" borderId="21" xfId="4" applyNumberFormat="1" applyFont="1" applyFill="1" applyBorder="1"/>
    <xf numFmtId="38" fontId="7" fillId="0" borderId="6" xfId="4" applyNumberFormat="1" applyFont="1" applyFill="1" applyBorder="1"/>
    <xf numFmtId="10" fontId="7" fillId="0" borderId="6" xfId="4" applyNumberFormat="1" applyFont="1" applyFill="1" applyBorder="1"/>
    <xf numFmtId="164" fontId="6" fillId="0" borderId="17" xfId="2" applyNumberFormat="1" applyFont="1" applyFill="1" applyBorder="1"/>
    <xf numFmtId="168" fontId="7" fillId="0" borderId="6" xfId="6" applyNumberFormat="1" applyFont="1" applyFill="1" applyBorder="1"/>
    <xf numFmtId="168" fontId="20" fillId="0" borderId="6" xfId="1" applyNumberFormat="1" applyFont="1" applyFill="1" applyBorder="1"/>
    <xf numFmtId="168" fontId="20" fillId="0" borderId="12" xfId="1" applyNumberFormat="1" applyFont="1" applyFill="1" applyBorder="1"/>
    <xf numFmtId="164" fontId="7" fillId="0" borderId="17" xfId="2" applyNumberFormat="1" applyFont="1" applyFill="1" applyBorder="1"/>
    <xf numFmtId="164" fontId="7" fillId="0" borderId="6" xfId="4" applyNumberFormat="1" applyFont="1" applyFill="1" applyBorder="1"/>
    <xf numFmtId="164" fontId="7" fillId="0" borderId="29" xfId="4" applyNumberFormat="1" applyFont="1" applyFill="1" applyBorder="1"/>
    <xf numFmtId="9" fontId="7" fillId="2" borderId="14" xfId="3" applyFont="1" applyFill="1" applyBorder="1" applyProtection="1"/>
    <xf numFmtId="9" fontId="6" fillId="2" borderId="9" xfId="3" applyFont="1" applyFill="1" applyBorder="1" applyProtection="1"/>
    <xf numFmtId="9" fontId="6" fillId="2" borderId="14" xfId="3" applyFont="1" applyFill="1" applyBorder="1" applyProtection="1"/>
    <xf numFmtId="9" fontId="7" fillId="2" borderId="28" xfId="3" applyFont="1" applyFill="1" applyBorder="1" applyProtection="1"/>
    <xf numFmtId="43" fontId="13" fillId="0" borderId="1" xfId="1" applyFont="1" applyFill="1" applyBorder="1" applyAlignment="1"/>
    <xf numFmtId="43" fontId="11" fillId="0" borderId="0" xfId="1" applyFont="1" applyFill="1" applyBorder="1" applyAlignment="1">
      <alignment horizontal="center"/>
    </xf>
    <xf numFmtId="0" fontId="7" fillId="3" borderId="0" xfId="4" applyFont="1" applyFill="1" applyBorder="1" applyAlignment="1">
      <alignment horizontal="center" wrapText="1"/>
    </xf>
    <xf numFmtId="0" fontId="7" fillId="3" borderId="1" xfId="4" applyFont="1" applyFill="1" applyBorder="1" applyAlignment="1">
      <alignment horizontal="center" wrapText="1"/>
    </xf>
    <xf numFmtId="0" fontId="7" fillId="3" borderId="2" xfId="4" applyFont="1" applyFill="1" applyBorder="1" applyAlignment="1">
      <alignment horizontal="center" wrapText="1"/>
    </xf>
    <xf numFmtId="0" fontId="7" fillId="3" borderId="0" xfId="4" applyFont="1" applyFill="1" applyAlignment="1">
      <alignment horizontal="center" wrapText="1"/>
    </xf>
    <xf numFmtId="0" fontId="7" fillId="3" borderId="5" xfId="4" applyFont="1" applyFill="1" applyBorder="1" applyAlignment="1">
      <alignment horizontal="center" wrapText="1"/>
    </xf>
    <xf numFmtId="0" fontId="6" fillId="3" borderId="0" xfId="4" applyFont="1" applyFill="1" applyBorder="1" applyAlignment="1">
      <alignment horizontal="center" wrapText="1"/>
    </xf>
    <xf numFmtId="0" fontId="6" fillId="3" borderId="6" xfId="4" applyFont="1" applyFill="1" applyBorder="1" applyAlignment="1">
      <alignment horizontal="center" wrapText="1"/>
    </xf>
    <xf numFmtId="164" fontId="0" fillId="0" borderId="14" xfId="2" applyNumberFormat="1" applyFont="1" applyBorder="1"/>
    <xf numFmtId="164" fontId="0" fillId="0" borderId="0" xfId="2" applyNumberFormat="1" applyFont="1"/>
    <xf numFmtId="168" fontId="0" fillId="0" borderId="0" xfId="1" applyNumberFormat="1" applyFont="1"/>
    <xf numFmtId="168" fontId="0" fillId="0" borderId="9" xfId="1" applyNumberFormat="1" applyFont="1" applyBorder="1"/>
    <xf numFmtId="168" fontId="7" fillId="3" borderId="0" xfId="1" applyNumberFormat="1" applyFont="1" applyFill="1" applyBorder="1" applyProtection="1"/>
    <xf numFmtId="168" fontId="7" fillId="3" borderId="0" xfId="1" applyNumberFormat="1" applyFont="1" applyFill="1" applyProtection="1"/>
    <xf numFmtId="168" fontId="7" fillId="3" borderId="5" xfId="1" applyNumberFormat="1" applyFont="1" applyFill="1" applyBorder="1" applyProtection="1"/>
    <xf numFmtId="9" fontId="7" fillId="3" borderId="6" xfId="3" applyFont="1" applyFill="1" applyBorder="1" applyProtection="1"/>
    <xf numFmtId="168" fontId="7" fillId="3" borderId="8" xfId="1" applyNumberFormat="1" applyFont="1" applyFill="1" applyBorder="1" applyProtection="1"/>
    <xf numFmtId="9" fontId="7" fillId="3" borderId="0" xfId="3" applyFont="1" applyFill="1" applyBorder="1" applyProtection="1"/>
    <xf numFmtId="168" fontId="7" fillId="3" borderId="9" xfId="1" applyNumberFormat="1" applyFont="1" applyFill="1" applyBorder="1" applyProtection="1"/>
    <xf numFmtId="168" fontId="7" fillId="3" borderId="11" xfId="1" applyNumberFormat="1" applyFont="1" applyFill="1" applyBorder="1" applyProtection="1"/>
    <xf numFmtId="9" fontId="7" fillId="3" borderId="12" xfId="3" applyFont="1" applyFill="1" applyBorder="1" applyProtection="1"/>
    <xf numFmtId="168" fontId="7" fillId="3" borderId="13" xfId="1" applyNumberFormat="1" applyFont="1" applyFill="1" applyBorder="1" applyProtection="1"/>
    <xf numFmtId="168" fontId="24" fillId="0" borderId="0" xfId="6" applyNumberFormat="1" applyFont="1"/>
    <xf numFmtId="43" fontId="13" fillId="0" borderId="2" xfId="1" applyFont="1" applyFill="1" applyBorder="1" applyAlignment="1"/>
    <xf numFmtId="43" fontId="13" fillId="0" borderId="3" xfId="1" applyFont="1" applyFill="1" applyBorder="1" applyAlignment="1"/>
    <xf numFmtId="0" fontId="0" fillId="0" borderId="0" xfId="0" applyFill="1"/>
    <xf numFmtId="0" fontId="11" fillId="0" borderId="0" xfId="4" applyFont="1" applyFill="1" applyAlignment="1">
      <alignment horizontal="right"/>
    </xf>
    <xf numFmtId="169" fontId="3" fillId="0" borderId="0" xfId="0" applyNumberFormat="1" applyFont="1" applyFill="1" applyBorder="1"/>
    <xf numFmtId="168" fontId="7" fillId="4" borderId="0" xfId="1" applyNumberFormat="1" applyFont="1" applyFill="1" applyBorder="1"/>
    <xf numFmtId="168" fontId="7" fillId="4" borderId="0" xfId="1" applyNumberFormat="1" applyFont="1" applyFill="1" applyBorder="1" applyProtection="1"/>
    <xf numFmtId="168" fontId="7" fillId="4" borderId="0" xfId="1" applyNumberFormat="1" applyFont="1" applyFill="1" applyProtection="1"/>
    <xf numFmtId="168" fontId="7" fillId="4" borderId="5" xfId="1" applyNumberFormat="1" applyFont="1" applyFill="1" applyBorder="1" applyProtection="1"/>
    <xf numFmtId="9" fontId="7" fillId="4" borderId="6" xfId="3" applyFont="1" applyFill="1" applyBorder="1" applyProtection="1"/>
    <xf numFmtId="168" fontId="7" fillId="4" borderId="8" xfId="1" applyNumberFormat="1" applyFont="1" applyFill="1" applyBorder="1" applyProtection="1"/>
    <xf numFmtId="9" fontId="7" fillId="4" borderId="0" xfId="3" applyFont="1" applyFill="1" applyBorder="1"/>
    <xf numFmtId="168" fontId="7" fillId="4" borderId="5" xfId="1" applyNumberFormat="1" applyFont="1" applyFill="1" applyBorder="1"/>
    <xf numFmtId="168" fontId="7" fillId="4" borderId="8" xfId="1" applyNumberFormat="1" applyFont="1" applyFill="1" applyBorder="1"/>
    <xf numFmtId="168" fontId="7" fillId="4" borderId="0" xfId="1" applyNumberFormat="1" applyFont="1" applyFill="1"/>
    <xf numFmtId="9" fontId="7" fillId="0" borderId="6" xfId="3" applyFont="1" applyFill="1" applyBorder="1" applyProtection="1"/>
    <xf numFmtId="164" fontId="7" fillId="0" borderId="34" xfId="4" applyNumberFormat="1" applyFont="1" applyFill="1" applyBorder="1"/>
    <xf numFmtId="0" fontId="26" fillId="0" borderId="0" xfId="0" applyFont="1"/>
    <xf numFmtId="0" fontId="0" fillId="0" borderId="0" xfId="0" applyAlignment="1">
      <alignment horizontal="center"/>
    </xf>
    <xf numFmtId="0" fontId="29" fillId="0" borderId="0" xfId="0" applyFont="1"/>
    <xf numFmtId="0" fontId="23" fillId="0" borderId="0" xfId="0" applyFont="1"/>
    <xf numFmtId="0" fontId="30" fillId="0" borderId="0" xfId="4" applyFont="1" applyFill="1" applyBorder="1"/>
    <xf numFmtId="164" fontId="19" fillId="0" borderId="0" xfId="2" applyNumberFormat="1" applyFont="1" applyFill="1" applyBorder="1" applyProtection="1"/>
    <xf numFmtId="164" fontId="23" fillId="0" borderId="0" xfId="0" applyNumberFormat="1" applyFont="1"/>
    <xf numFmtId="0" fontId="32" fillId="0" borderId="0" xfId="0" applyFont="1"/>
    <xf numFmtId="0" fontId="32" fillId="0" borderId="0" xfId="0" applyFont="1" applyAlignment="1">
      <alignment horizontal="center"/>
    </xf>
    <xf numFmtId="15" fontId="32" fillId="0" borderId="0" xfId="0" quotePrefix="1" applyNumberFormat="1" applyFont="1" applyAlignment="1">
      <alignment horizontal="center"/>
    </xf>
    <xf numFmtId="164" fontId="32" fillId="0" borderId="35" xfId="2" applyNumberFormat="1" applyFont="1" applyBorder="1"/>
    <xf numFmtId="164" fontId="32" fillId="0" borderId="36" xfId="2" applyNumberFormat="1" applyFont="1" applyBorder="1"/>
    <xf numFmtId="164" fontId="32" fillId="0" borderId="37" xfId="2" applyNumberFormat="1" applyFont="1" applyBorder="1"/>
    <xf numFmtId="164" fontId="32" fillId="0" borderId="38" xfId="2" applyNumberFormat="1" applyFont="1" applyBorder="1"/>
    <xf numFmtId="0" fontId="0" fillId="0" borderId="0" xfId="0" applyAlignment="1">
      <alignment horizontal="left" indent="1"/>
    </xf>
    <xf numFmtId="0" fontId="0" fillId="5" borderId="0" xfId="0" applyFill="1"/>
    <xf numFmtId="9" fontId="0" fillId="5" borderId="14" xfId="3" applyFont="1" applyFill="1" applyBorder="1"/>
    <xf numFmtId="9" fontId="0" fillId="0" borderId="0" xfId="0" applyNumberFormat="1"/>
    <xf numFmtId="0" fontId="0" fillId="6" borderId="0" xfId="0" applyFill="1"/>
    <xf numFmtId="9" fontId="7" fillId="0" borderId="17" xfId="3" applyFont="1" applyFill="1" applyBorder="1" applyProtection="1"/>
    <xf numFmtId="164" fontId="7" fillId="0" borderId="6" xfId="2" applyNumberFormat="1" applyFont="1" applyFill="1" applyBorder="1"/>
    <xf numFmtId="168" fontId="23" fillId="0" borderId="0" xfId="4" applyNumberFormat="1" applyFont="1" applyFill="1" applyBorder="1" applyProtection="1"/>
    <xf numFmtId="168" fontId="23" fillId="0" borderId="9" xfId="4" applyNumberFormat="1" applyFont="1" applyFill="1" applyBorder="1" applyProtection="1"/>
    <xf numFmtId="0" fontId="23" fillId="0" borderId="0" xfId="4" applyFont="1" applyFill="1" applyAlignment="1">
      <alignment horizontal="left" indent="2"/>
    </xf>
    <xf numFmtId="0" fontId="23" fillId="0" borderId="0" xfId="4" applyFont="1" applyFill="1" applyAlignment="1">
      <alignment horizontal="left"/>
    </xf>
    <xf numFmtId="0" fontId="36" fillId="0" borderId="0" xfId="4" applyFont="1" applyFill="1" applyAlignment="1">
      <alignment horizontal="left" indent="2"/>
    </xf>
    <xf numFmtId="9" fontId="0" fillId="6" borderId="14" xfId="0" applyNumberFormat="1" applyFill="1" applyBorder="1"/>
    <xf numFmtId="9" fontId="38" fillId="5" borderId="14" xfId="3" applyFont="1" applyFill="1" applyBorder="1"/>
    <xf numFmtId="0" fontId="0" fillId="0" borderId="0" xfId="0" applyAlignment="1">
      <alignment wrapText="1"/>
    </xf>
    <xf numFmtId="0" fontId="21" fillId="0" borderId="5" xfId="4" applyFont="1" applyFill="1" applyBorder="1" applyAlignment="1">
      <alignment horizontal="center" wrapText="1"/>
    </xf>
    <xf numFmtId="0" fontId="21" fillId="0" borderId="0" xfId="4" applyFont="1" applyFill="1" applyBorder="1" applyAlignment="1">
      <alignment horizontal="center" wrapText="1"/>
    </xf>
    <xf numFmtId="169" fontId="38" fillId="0" borderId="5" xfId="0" applyNumberFormat="1" applyFont="1" applyFill="1" applyBorder="1"/>
    <xf numFmtId="169" fontId="38" fillId="0" borderId="0" xfId="0" applyNumberFormat="1" applyFont="1" applyBorder="1"/>
    <xf numFmtId="9" fontId="21" fillId="0" borderId="5" xfId="3" applyFont="1" applyFill="1" applyBorder="1"/>
    <xf numFmtId="9" fontId="21" fillId="0" borderId="0" xfId="3" applyFont="1" applyFill="1" applyBorder="1"/>
    <xf numFmtId="164" fontId="21" fillId="0" borderId="5" xfId="2" applyNumberFormat="1" applyFont="1" applyFill="1" applyBorder="1" applyProtection="1"/>
    <xf numFmtId="164" fontId="21" fillId="0" borderId="0" xfId="2" applyNumberFormat="1" applyFont="1" applyFill="1"/>
    <xf numFmtId="168" fontId="21" fillId="0" borderId="5" xfId="1" applyNumberFormat="1" applyFont="1" applyFill="1" applyBorder="1" applyProtection="1"/>
    <xf numFmtId="168" fontId="21" fillId="0" borderId="0" xfId="1" applyNumberFormat="1" applyFont="1" applyFill="1"/>
    <xf numFmtId="168" fontId="21" fillId="0" borderId="5" xfId="4" applyNumberFormat="1" applyFont="1" applyFill="1" applyBorder="1" applyProtection="1"/>
    <xf numFmtId="168" fontId="21" fillId="0" borderId="0" xfId="4" applyNumberFormat="1" applyFont="1" applyFill="1" applyBorder="1" applyProtection="1"/>
    <xf numFmtId="168" fontId="21" fillId="0" borderId="0" xfId="1" applyNumberFormat="1" applyFont="1" applyFill="1" applyBorder="1" applyProtection="1"/>
    <xf numFmtId="168" fontId="21" fillId="0" borderId="11" xfId="1" applyNumberFormat="1" applyFont="1" applyFill="1" applyBorder="1" applyProtection="1"/>
    <xf numFmtId="168" fontId="21" fillId="0" borderId="9" xfId="1" applyNumberFormat="1" applyFont="1" applyFill="1" applyBorder="1" applyProtection="1"/>
    <xf numFmtId="0" fontId="21" fillId="0" borderId="5" xfId="4" applyFont="1" applyFill="1" applyBorder="1" applyProtection="1"/>
    <xf numFmtId="0" fontId="21" fillId="0" borderId="0" xfId="4" applyFont="1" applyFill="1" applyBorder="1" applyProtection="1"/>
    <xf numFmtId="164" fontId="21" fillId="0" borderId="16" xfId="2" applyNumberFormat="1" applyFont="1" applyFill="1" applyBorder="1" applyProtection="1"/>
    <xf numFmtId="164" fontId="21" fillId="0" borderId="14" xfId="2" applyNumberFormat="1" applyFont="1" applyFill="1" applyBorder="1" applyProtection="1"/>
    <xf numFmtId="0" fontId="21" fillId="0" borderId="5" xfId="4" applyFont="1" applyFill="1" applyBorder="1"/>
    <xf numFmtId="0" fontId="21" fillId="0" borderId="0" xfId="4" applyFont="1" applyFill="1" applyBorder="1"/>
    <xf numFmtId="165" fontId="21" fillId="0" borderId="16" xfId="3" applyNumberFormat="1" applyFont="1" applyFill="1" applyBorder="1" applyProtection="1"/>
    <xf numFmtId="165" fontId="21" fillId="0" borderId="14" xfId="3" applyNumberFormat="1" applyFont="1" applyFill="1" applyBorder="1" applyProtection="1"/>
    <xf numFmtId="168" fontId="21" fillId="0" borderId="5" xfId="1" applyNumberFormat="1" applyFont="1" applyFill="1" applyBorder="1"/>
    <xf numFmtId="168" fontId="21" fillId="0" borderId="0" xfId="1" applyNumberFormat="1" applyFont="1" applyFill="1" applyBorder="1"/>
    <xf numFmtId="168" fontId="21" fillId="0" borderId="9" xfId="1" applyNumberFormat="1" applyFont="1" applyFill="1" applyBorder="1"/>
    <xf numFmtId="168" fontId="25" fillId="0" borderId="11" xfId="1" applyNumberFormat="1" applyFont="1" applyFill="1" applyBorder="1"/>
    <xf numFmtId="168" fontId="25" fillId="0" borderId="9" xfId="1" applyNumberFormat="1" applyFont="1" applyFill="1" applyBorder="1"/>
    <xf numFmtId="168" fontId="21" fillId="4" borderId="5" xfId="1" applyNumberFormat="1" applyFont="1" applyFill="1" applyBorder="1"/>
    <xf numFmtId="168" fontId="21" fillId="3" borderId="0" xfId="1" applyNumberFormat="1" applyFont="1" applyFill="1" applyBorder="1"/>
    <xf numFmtId="171" fontId="21" fillId="0" borderId="5" xfId="1" applyNumberFormat="1" applyFont="1" applyFill="1" applyBorder="1"/>
    <xf numFmtId="171" fontId="21" fillId="0" borderId="0" xfId="1" applyNumberFormat="1" applyFont="1" applyFill="1" applyBorder="1"/>
    <xf numFmtId="168" fontId="21" fillId="0" borderId="11" xfId="1" applyNumberFormat="1" applyFont="1" applyFill="1" applyBorder="1"/>
    <xf numFmtId="0" fontId="21" fillId="4" borderId="5" xfId="4" applyFont="1" applyFill="1" applyBorder="1"/>
    <xf numFmtId="0" fontId="39" fillId="4" borderId="5" xfId="4" applyFont="1" applyFill="1" applyBorder="1"/>
    <xf numFmtId="0" fontId="39" fillId="0" borderId="0" xfId="4" applyFont="1" applyFill="1" applyBorder="1"/>
    <xf numFmtId="37" fontId="21" fillId="4" borderId="5" xfId="4" applyNumberFormat="1" applyFont="1" applyFill="1" applyBorder="1"/>
    <xf numFmtId="37" fontId="21" fillId="0" borderId="0" xfId="4" applyNumberFormat="1" applyFont="1" applyFill="1" applyBorder="1"/>
    <xf numFmtId="37" fontId="25" fillId="4" borderId="20" xfId="4" applyNumberFormat="1" applyFont="1" applyFill="1" applyBorder="1"/>
    <xf numFmtId="37" fontId="25" fillId="0" borderId="19" xfId="4" applyNumberFormat="1" applyFont="1" applyFill="1" applyBorder="1"/>
    <xf numFmtId="38" fontId="21" fillId="4" borderId="5" xfId="4" applyNumberFormat="1" applyFont="1" applyFill="1" applyBorder="1"/>
    <xf numFmtId="38" fontId="21" fillId="0" borderId="0" xfId="4" applyNumberFormat="1" applyFont="1" applyFill="1" applyBorder="1"/>
    <xf numFmtId="10" fontId="21" fillId="4" borderId="5" xfId="4" applyNumberFormat="1" applyFont="1" applyFill="1" applyBorder="1"/>
    <xf numFmtId="10" fontId="21" fillId="0" borderId="0" xfId="4" applyNumberFormat="1" applyFont="1" applyFill="1" applyBorder="1"/>
    <xf numFmtId="164" fontId="25" fillId="0" borderId="16" xfId="2" applyNumberFormat="1" applyFont="1" applyFill="1" applyBorder="1"/>
    <xf numFmtId="164" fontId="25" fillId="0" borderId="14" xfId="2" applyNumberFormat="1" applyFont="1" applyFill="1" applyBorder="1"/>
    <xf numFmtId="168" fontId="21" fillId="0" borderId="5" xfId="6" applyNumberFormat="1" applyFont="1" applyFill="1" applyBorder="1"/>
    <xf numFmtId="168" fontId="21" fillId="0" borderId="0" xfId="6" applyNumberFormat="1" applyFont="1" applyFill="1" applyBorder="1"/>
    <xf numFmtId="164" fontId="21" fillId="0" borderId="16" xfId="2" applyNumberFormat="1" applyFont="1" applyFill="1" applyBorder="1"/>
    <xf numFmtId="164" fontId="21" fillId="0" borderId="14" xfId="2" applyNumberFormat="1" applyFont="1" applyFill="1" applyBorder="1"/>
    <xf numFmtId="164" fontId="21" fillId="0" borderId="16" xfId="4" applyNumberFormat="1" applyFont="1" applyFill="1" applyBorder="1"/>
    <xf numFmtId="0" fontId="16" fillId="3" borderId="2" xfId="4" applyFont="1" applyFill="1" applyBorder="1" applyAlignment="1">
      <alignment horizontal="center" wrapText="1"/>
    </xf>
    <xf numFmtId="0" fontId="16" fillId="3" borderId="3" xfId="4" applyFont="1" applyFill="1" applyBorder="1" applyAlignment="1">
      <alignment horizontal="center" wrapText="1"/>
    </xf>
    <xf numFmtId="0" fontId="16" fillId="2" borderId="2" xfId="4" applyFont="1" applyFill="1" applyBorder="1" applyAlignment="1">
      <alignment horizontal="center" wrapText="1"/>
    </xf>
    <xf numFmtId="0" fontId="37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35" fillId="0" borderId="0" xfId="0" applyFont="1" applyAlignment="1">
      <alignment horizontal="center"/>
    </xf>
  </cellXfs>
  <cellStyles count="7">
    <cellStyle name="Comma" xfId="1" builtinId="3"/>
    <cellStyle name="Comma 2 3" xfId="6" xr:uid="{B73291F7-7CC2-4238-AA76-BADDDABEEAB4}"/>
    <cellStyle name="Currency" xfId="2" builtinId="4"/>
    <cellStyle name="Normal" xfId="0" builtinId="0"/>
    <cellStyle name="Normal_2010 Financial Plan" xfId="5" xr:uid="{017F1B85-D62D-47DA-BFED-6634A5C2DEBD}"/>
    <cellStyle name="Normal_Greg's file -2010 Bud Plan-3-17-10" xfId="4" xr:uid="{E963FB63-1CB4-4895-B828-6408F42C6E40}"/>
    <cellStyle name="Percent" xfId="3" builtinId="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American Library</a:t>
            </a:r>
            <a:r>
              <a:rPr lang="en-US" sz="2000" baseline="0"/>
              <a:t> Association</a:t>
            </a:r>
          </a:p>
          <a:p>
            <a:pPr>
              <a:defRPr/>
            </a:pPr>
            <a:r>
              <a:rPr lang="en-US" sz="2000" baseline="0"/>
              <a:t>Gross Revenue</a:t>
            </a:r>
          </a:p>
          <a:p>
            <a:pPr>
              <a:defRPr/>
            </a:pPr>
            <a:r>
              <a:rPr lang="en-US" sz="2000" baseline="0"/>
              <a:t>FY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875102380595415E-4"/>
          <c:y val="0.19099747147966023"/>
          <c:w val="0.9552318256568233"/>
          <c:h val="0.783739026106105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420-48D5-A75C-08ACF411E0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B5-4E94-B573-A5F761D190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B5-4E94-B573-A5F761D190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420-48D5-A75C-08ACF411E0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420-48D5-A75C-08ACF411E01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B5-4E94-B573-A5F761D190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420-48D5-A75C-08ACF411E01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7B5-4E94-B573-A5F761D190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420-48D5-A75C-08ACF411E01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420-48D5-A75C-08ACF411E01A}"/>
              </c:ext>
            </c:extLst>
          </c:dPt>
          <c:dLbls>
            <c:dLbl>
              <c:idx val="4"/>
              <c:layout>
                <c:manualLayout>
                  <c:x val="-2.115265695982637E-2"/>
                  <c:y val="-3.02845147202554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0-48D5-A75C-08ACF411E01A}"/>
                </c:ext>
              </c:extLst>
            </c:dLbl>
            <c:dLbl>
              <c:idx val="6"/>
              <c:layout>
                <c:manualLayout>
                  <c:x val="-3.157160355384834E-3"/>
                  <c:y val="-5.970133179203617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0-48D5-A75C-08ACF411E01A}"/>
                </c:ext>
              </c:extLst>
            </c:dLbl>
            <c:dLbl>
              <c:idx val="8"/>
              <c:layout>
                <c:manualLayout>
                  <c:x val="-0.2654988446489932"/>
                  <c:y val="-2.86394283747475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0-48D5-A75C-08ACF411E01A}"/>
                </c:ext>
              </c:extLst>
            </c:dLbl>
            <c:dLbl>
              <c:idx val="9"/>
              <c:layout>
                <c:manualLayout>
                  <c:x val="0.30408822942044994"/>
                  <c:y val="-2.75099099675997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0-48D5-A75C-08ACF411E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'Revenue Pie Chart'!$I$33:$I$42</c:f>
              <c:strCache>
                <c:ptCount val="10"/>
                <c:pt idx="0">
                  <c:v>Publishing Department</c:v>
                </c:pt>
                <c:pt idx="1">
                  <c:v>Conference</c:v>
                </c:pt>
                <c:pt idx="2">
                  <c:v>Membership Dues</c:v>
                </c:pt>
                <c:pt idx="3">
                  <c:v>Divisions</c:v>
                </c:pt>
                <c:pt idx="4">
                  <c:v>Round Tables</c:v>
                </c:pt>
                <c:pt idx="5">
                  <c:v>Grants</c:v>
                </c:pt>
                <c:pt idx="6">
                  <c:v>Interest Income and Investment Earnings</c:v>
                </c:pt>
                <c:pt idx="7">
                  <c:v>Contributed Revenue</c:v>
                </c:pt>
                <c:pt idx="8">
                  <c:v>Continuing Education</c:v>
                </c:pt>
                <c:pt idx="9">
                  <c:v>Other </c:v>
                </c:pt>
              </c:strCache>
            </c:strRef>
          </c:cat>
          <c:val>
            <c:numRef>
              <c:f>'Spring 2021'!$X$10:$X$19</c:f>
              <c:numCache>
                <c:formatCode>_(* #,##0_);_(* \(#,##0\);_(* "-"??_);_(@_)</c:formatCode>
                <c:ptCount val="10"/>
                <c:pt idx="0" formatCode="_(&quot;$&quot;* #,##0_);_(&quot;$&quot;* \(#,##0\);_(&quot;$&quot;* &quot;-&quot;??_);_(@_)">
                  <c:v>9278657</c:v>
                </c:pt>
                <c:pt idx="1">
                  <c:v>8376475</c:v>
                </c:pt>
                <c:pt idx="2">
                  <c:v>4255792</c:v>
                </c:pt>
                <c:pt idx="3">
                  <c:v>12574660.92</c:v>
                </c:pt>
                <c:pt idx="4">
                  <c:v>501149</c:v>
                </c:pt>
                <c:pt idx="5">
                  <c:v>3751711.43956374</c:v>
                </c:pt>
                <c:pt idx="6">
                  <c:v>1275129</c:v>
                </c:pt>
                <c:pt idx="7">
                  <c:v>3000000</c:v>
                </c:pt>
                <c:pt idx="8">
                  <c:v>675989</c:v>
                </c:pt>
                <c:pt idx="9">
                  <c:v>356254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0-48D5-A75C-08ACF411E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American Library Association</a:t>
            </a:r>
          </a:p>
          <a:p>
            <a:pPr>
              <a:defRPr/>
            </a:pPr>
            <a:r>
              <a:rPr lang="en-US" sz="1800" b="0" i="0" u="none" strike="noStrike" baseline="0">
                <a:effectLst/>
              </a:rPr>
              <a:t>Short-term Investments</a:t>
            </a:r>
          </a:p>
          <a:p>
            <a:pPr>
              <a:defRPr/>
            </a:pPr>
            <a:r>
              <a:rPr lang="en-US" sz="1800" b="0" i="0" u="none" strike="noStrike" baseline="0">
                <a:effectLst/>
              </a:rPr>
              <a:t>FY 2016 through FY 2026</a:t>
            </a:r>
            <a:endParaRPr lang="en-US" sz="1800"/>
          </a:p>
        </c:rich>
      </c:tx>
      <c:layout>
        <c:manualLayout>
          <c:xMode val="edge"/>
          <c:yMode val="edge"/>
          <c:x val="0.42358046101307528"/>
          <c:y val="1.0693791861105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Short-term Investment Balance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'Liquidity - ST Investments'!$C$5:$M$5</c:f>
              <c:strCache>
                <c:ptCount val="11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  <c:pt idx="4">
                  <c:v>FY 2020</c:v>
                </c:pt>
                <c:pt idx="5">
                  <c:v>FY 2021</c:v>
                </c:pt>
                <c:pt idx="6">
                  <c:v>FY 2022</c:v>
                </c:pt>
                <c:pt idx="7">
                  <c:v>FY 2023</c:v>
                </c:pt>
                <c:pt idx="8">
                  <c:v>FY 2024</c:v>
                </c:pt>
                <c:pt idx="9">
                  <c:v>FY 2025</c:v>
                </c:pt>
                <c:pt idx="10">
                  <c:v>FY 2026</c:v>
                </c:pt>
              </c:strCache>
            </c:strRef>
          </c:cat>
          <c:val>
            <c:numRef>
              <c:f>'Liquidity - ST Investments'!$C$7:$M$7</c:f>
              <c:numCache>
                <c:formatCode>_("$"* #,##0_);_("$"* \(#,##0\);_("$"* "-"??_);_(@_)</c:formatCode>
                <c:ptCount val="11"/>
                <c:pt idx="0">
                  <c:v>14154503</c:v>
                </c:pt>
                <c:pt idx="1">
                  <c:v>8177379</c:v>
                </c:pt>
                <c:pt idx="2">
                  <c:v>9344249</c:v>
                </c:pt>
                <c:pt idx="3">
                  <c:v>4922704</c:v>
                </c:pt>
                <c:pt idx="4">
                  <c:v>3500000</c:v>
                </c:pt>
                <c:pt idx="5">
                  <c:v>2597114.6765788328</c:v>
                </c:pt>
                <c:pt idx="6">
                  <c:v>-121003.83530679904</c:v>
                </c:pt>
                <c:pt idx="7">
                  <c:v>-2693982.4938706588</c:v>
                </c:pt>
                <c:pt idx="8">
                  <c:v>-3671346.9179979507</c:v>
                </c:pt>
                <c:pt idx="9">
                  <c:v>-3358223.5406471286</c:v>
                </c:pt>
                <c:pt idx="10">
                  <c:v>-1505703.1136415657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2AAC-4BE8-99A6-DB4FDBE39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22136"/>
        <c:axId val="558425088"/>
      </c:lineChart>
      <c:catAx>
        <c:axId val="55842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5088"/>
        <c:crosses val="autoZero"/>
        <c:auto val="1"/>
        <c:lblAlgn val="ctr"/>
        <c:lblOffset val="100"/>
        <c:noMultiLvlLbl val="0"/>
      </c:catAx>
      <c:valAx>
        <c:axId val="55842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2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67733</xdr:colOff>
      <xdr:row>0</xdr:row>
      <xdr:rowOff>110067</xdr:rowOff>
    </xdr:from>
    <xdr:to>
      <xdr:col>21</xdr:col>
      <xdr:colOff>389467</xdr:colOff>
      <xdr:row>30</xdr:row>
      <xdr:rowOff>93132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418AA6-B1E1-4B9B-AF6E-B3CC11953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9525</xdr:rowOff>
    </xdr:from>
    <xdr:to>
      <xdr:col>15</xdr:col>
      <xdr:colOff>561974</xdr:colOff>
      <xdr:row>33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ABB752-A2BA-4FCE-9913-3077CE8DE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leon\AppData\Local\Microsoft\Windows\Temporary%20Internet%20Files\Content.Outlook\BHHUG0IK\ALA%205%20Yr%20Financial%20Plan%20FY17-21%203.30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BD%20X.X%20BARC%20X.X%205-Year%20Financial%20Plan%20FY22-26%20Sping%202021%20v1%20-%20OLD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 comparison"/>
      <sheetName val="FY12 Proj Changes since 3-12-12"/>
      <sheetName val="Program allocations"/>
      <sheetName val="221 changes"/>
      <sheetName val="12-ACT GF by Proj"/>
      <sheetName val="12AllFund 11-28-12 (2)"/>
      <sheetName val="12-593 (2)"/>
      <sheetName val="12-ACT Div"/>
      <sheetName val="12-ACT RT"/>
      <sheetName val="12Plant Fund (2)"/>
      <sheetName val="Endowment Fund-2012 (2)"/>
      <sheetName val="47_48_49 Restricted Fd (2)"/>
      <sheetName val="12-ACT-APA"/>
      <sheetName val="FY12 Bud Vs Proj"/>
      <sheetName val="13AllFund 1-31-2013"/>
      <sheetName val="12-ACT 101"/>
      <sheetName val="12-ACT 102"/>
      <sheetName val="12-ACT 591"/>
      <sheetName val="12-ACT 592"/>
      <sheetName val="NC data"/>
      <sheetName val="OC data"/>
      <sheetName val="ALA's Plan"/>
      <sheetName val="GF SumUnits-vs Proj"/>
      <sheetName val="Cuts (3)"/>
      <sheetName val="Cuts (2)"/>
      <sheetName val="Cuts"/>
      <sheetName val="GF SumUnits"/>
      <sheetName val="GF"/>
      <sheetName val="KB-Charts data"/>
      <sheetName val="100s"/>
      <sheetName val="103s"/>
      <sheetName val="150s"/>
      <sheetName val="200s"/>
      <sheetName val="300s"/>
      <sheetName val="Unit names"/>
      <sheetName val="500s"/>
      <sheetName val="550s"/>
      <sheetName val="590s"/>
      <sheetName val="100 Comm-AED"/>
      <sheetName val="104 Library"/>
      <sheetName val="109 ORS"/>
      <sheetName val="111 IRO"/>
      <sheetName val="113 PIO"/>
      <sheetName val="115 PPO"/>
      <sheetName val="120 OLA"/>
      <sheetName val="250 Cust Serv"/>
      <sheetName val="251 CRO"/>
      <sheetName val="101 Council"/>
      <sheetName val="102 Board"/>
      <sheetName val="103 Executive Office"/>
      <sheetName val="114 Development"/>
      <sheetName val="230 Awards"/>
      <sheetName val="506 HR"/>
      <sheetName val="150 WO"/>
      <sheetName val="151 OITP"/>
      <sheetName val="152 OGR"/>
      <sheetName val="200 MPS-AED"/>
      <sheetName val="106 HRDR"/>
      <sheetName val="107 OLOS"/>
      <sheetName val="108 OIF"/>
      <sheetName val="112 OA"/>
      <sheetName val="116 Diversity"/>
      <sheetName val="116 OFD&amp;OLOS"/>
      <sheetName val="220 Mid Winter"/>
      <sheetName val="221 Annual Conf"/>
      <sheetName val="220s"/>
      <sheetName val="505 ITTS"/>
      <sheetName val="300 Pub-AED"/>
      <sheetName val="301 ALA Edition"/>
      <sheetName val="302 Booklist"/>
      <sheetName val="303 AL"/>
      <sheetName val="305 ALA Digital Reference"/>
      <sheetName val="313 ALA Graphics"/>
      <sheetName val="501 Support Serv"/>
      <sheetName val="509 Distribution"/>
      <sheetName val="510 Repro"/>
      <sheetName val="511 Maint"/>
      <sheetName val="550 Finance-AED"/>
      <sheetName val="551 Acctg"/>
      <sheetName val="552 P&amp;B"/>
      <sheetName val="591 Gen Adm"/>
      <sheetName val="592 OH"/>
      <sheetName val="401 PLA"/>
      <sheetName val="403 ACRL"/>
      <sheetName val="404 CHOICE"/>
      <sheetName val="405 AASL"/>
      <sheetName val="406 ASCLA"/>
      <sheetName val="407 ALCTS"/>
      <sheetName val="409 LLAMA"/>
      <sheetName val="410 RUSA"/>
      <sheetName val="411 ALTAFF"/>
      <sheetName val="412 LITA"/>
      <sheetName val="413 ALSC"/>
      <sheetName val="414 YALSA"/>
      <sheetName val="400s All Divisions"/>
      <sheetName val="800 APA"/>
      <sheetName val="12 Act Jan-to sheets link here"/>
      <sheetName val="Prophix"/>
      <sheetName val="12 budget-from sheets"/>
      <sheetName val="12 Proj file-from sheets dup"/>
      <sheetName val="Schedule 1"/>
      <sheetName val="Schedule 2"/>
      <sheetName val="Schedule 2-1-103_150"/>
      <sheetName val="Schedule 2-2-100S_Dues"/>
      <sheetName val="Schedule 2-3-500S_550S"/>
      <sheetName val="Schedule 3-300s"/>
      <sheetName val="Schedule 4-200s"/>
      <sheetName val="Schedule 5_400"/>
      <sheetName val="AUG 2011-5th CLOSE-value"/>
      <sheetName val="GF by Proj"/>
      <sheetName val="12-101"/>
      <sheetName val="300s_13"/>
      <sheetName val="301_13"/>
      <sheetName val="302_13"/>
      <sheetName val="303_13"/>
      <sheetName val="305_13"/>
      <sheetName val="313_13"/>
      <sheetName val="12-591"/>
      <sheetName val="Div"/>
      <sheetName val="RT"/>
      <sheetName val="12Plant Fund"/>
      <sheetName val="Endowment Fund-2012"/>
      <sheetName val="47_48_49 Restricted Fd"/>
      <sheetName val="12APA"/>
      <sheetName val="08Act"/>
      <sheetName val="08Act-FRx"/>
      <sheetName val="08Bud"/>
      <sheetName val="09Bud"/>
      <sheetName val="10Bud"/>
      <sheetName val="11Bud"/>
      <sheetName val="12Bud"/>
      <sheetName val="08act 2"/>
      <sheetName val="11Bud (3)"/>
      <sheetName val="OTHER"/>
      <sheetName val="Gen Admin GFOH"/>
      <sheetName val="Binder tie out"/>
      <sheetName val="Conferences"/>
      <sheetName val="Assumptions"/>
      <sheetName val="WHAT IF "/>
      <sheetName val="ALA's Plan Exhibit-DID NOT USE"/>
      <sheetName val="YR over YR2"/>
      <sheetName val="YR over YR"/>
      <sheetName val="Other Income"/>
      <sheetName val="Exhibit"/>
      <sheetName val="NS Amort Apr 2016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8">
          <cell r="L18">
            <v>2229687.3200000003</v>
          </cell>
        </row>
        <row r="29">
          <cell r="E29">
            <v>2097865.7400000002</v>
          </cell>
        </row>
        <row r="32">
          <cell r="L32">
            <v>2860135.3</v>
          </cell>
        </row>
        <row r="44">
          <cell r="L44">
            <v>1737821.879999999</v>
          </cell>
        </row>
        <row r="49">
          <cell r="L49">
            <v>943732.34</v>
          </cell>
        </row>
        <row r="55">
          <cell r="L55">
            <v>946173.69999999972</v>
          </cell>
        </row>
        <row r="59">
          <cell r="E59">
            <v>2191999.3499999996</v>
          </cell>
        </row>
        <row r="62">
          <cell r="L62">
            <v>321497.58</v>
          </cell>
        </row>
        <row r="67">
          <cell r="E67">
            <v>599379.07999999996</v>
          </cell>
        </row>
        <row r="68">
          <cell r="E68">
            <v>755881.06999999937</v>
          </cell>
        </row>
        <row r="69">
          <cell r="E69">
            <v>59985.620000000024</v>
          </cell>
        </row>
        <row r="80">
          <cell r="L80">
            <v>-1915658.99</v>
          </cell>
        </row>
        <row r="99">
          <cell r="L99">
            <v>-16362</v>
          </cell>
        </row>
        <row r="105">
          <cell r="L105">
            <v>-350300.51</v>
          </cell>
        </row>
        <row r="137">
          <cell r="L137">
            <v>703566.66</v>
          </cell>
        </row>
        <row r="145">
          <cell r="L145">
            <v>5371098.0899999999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>
        <row r="64">
          <cell r="H64">
            <v>594720.68000000005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>
        <row r="33">
          <cell r="B33">
            <v>569870</v>
          </cell>
        </row>
      </sheetData>
      <sheetData sheetId="143" refreshError="1"/>
      <sheetData sheetId="144" refreshError="1">
        <row r="13">
          <cell r="D13">
            <v>334878.98</v>
          </cell>
          <cell r="E13">
            <v>669757</v>
          </cell>
          <cell r="H13">
            <v>600665.90909090906</v>
          </cell>
          <cell r="I13">
            <v>489665.90909090906</v>
          </cell>
          <cell r="J13">
            <v>369415.90909090906</v>
          </cell>
          <cell r="K13">
            <v>360165.90909090906</v>
          </cell>
        </row>
      </sheetData>
      <sheetData sheetId="1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- ST Investments"/>
      <sheetName val="Revenue Pie Chart"/>
      <sheetName val="Spring 2021"/>
      <sheetName val="Total ALA Payroll"/>
      <sheetName val="Divisions"/>
      <sheetName val="Spring 2021 - old version"/>
      <sheetName val="Investment Plan"/>
    </sheetNames>
    <sheetDataSet>
      <sheetData sheetId="0"/>
      <sheetData sheetId="1"/>
      <sheetData sheetId="2"/>
      <sheetData sheetId="3"/>
      <sheetData sheetId="4"/>
      <sheetData sheetId="5">
        <row r="7">
          <cell r="I7" t="str">
            <v>Actual 2017</v>
          </cell>
          <cell r="K7" t="str">
            <v xml:space="preserve">Actual 2018  </v>
          </cell>
          <cell r="S7" t="str">
            <v>Actual 2019</v>
          </cell>
          <cell r="T7" t="str">
            <v>Projections 2020</v>
          </cell>
          <cell r="U7" t="str">
            <v>Budget 2021</v>
          </cell>
          <cell r="X7" t="str">
            <v>Budget 2022</v>
          </cell>
          <cell r="Y7" t="str">
            <v>Plan 2023</v>
          </cell>
          <cell r="Z7" t="str">
            <v>Plan 2024</v>
          </cell>
          <cell r="AA7" t="str">
            <v>Plan 2025</v>
          </cell>
          <cell r="AB7" t="str">
            <v>Plan 2026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3687-D13E-442D-9EB2-174AB11E7376}">
  <dimension ref="A2:AH187"/>
  <sheetViews>
    <sheetView tabSelected="1" zoomScale="90" zoomScaleNormal="90" workbookViewId="0"/>
  </sheetViews>
  <sheetFormatPr defaultColWidth="10.6640625" defaultRowHeight="13.2" x14ac:dyDescent="0.25"/>
  <cols>
    <col min="1" max="1" width="3" style="3" customWidth="1"/>
    <col min="2" max="2" width="71.6640625" style="2" customWidth="1"/>
    <col min="3" max="3" width="18.6640625" style="3" hidden="1" customWidth="1"/>
    <col min="4" max="4" width="23.33203125" style="3" hidden="1" customWidth="1"/>
    <col min="5" max="6" width="18.6640625" style="3" hidden="1" customWidth="1"/>
    <col min="7" max="7" width="23.33203125" style="3" hidden="1" customWidth="1"/>
    <col min="8" max="8" width="18.6640625" style="3" hidden="1" customWidth="1"/>
    <col min="9" max="9" width="20.5546875" style="3" customWidth="1"/>
    <col min="10" max="10" width="20.5546875" style="3" hidden="1" customWidth="1"/>
    <col min="11" max="11" width="20.5546875" style="3" customWidth="1"/>
    <col min="12" max="13" width="18.6640625" style="3" hidden="1" customWidth="1"/>
    <col min="14" max="14" width="14.33203125" style="3" hidden="1" customWidth="1"/>
    <col min="15" max="15" width="12.33203125" style="3" hidden="1" customWidth="1"/>
    <col min="16" max="17" width="18.6640625" style="3" hidden="1" customWidth="1"/>
    <col min="18" max="18" width="23" style="3" hidden="1" customWidth="1"/>
    <col min="19" max="19" width="23" style="3" customWidth="1"/>
    <col min="20" max="21" width="20" style="3" customWidth="1"/>
    <col min="22" max="22" width="15.6640625" style="3" hidden="1" customWidth="1"/>
    <col min="23" max="23" width="12.6640625" style="3" hidden="1" customWidth="1"/>
    <col min="24" max="28" width="19.6640625" style="3" customWidth="1"/>
    <col min="29" max="29" width="24.44140625" style="3" customWidth="1"/>
    <col min="30" max="31" width="13.44140625" style="3" customWidth="1"/>
    <col min="32" max="32" width="13" style="3" bestFit="1" customWidth="1"/>
    <col min="33" max="33" width="12.6640625" style="3" bestFit="1" customWidth="1"/>
    <col min="34" max="16384" width="10.6640625" style="3"/>
  </cols>
  <sheetData>
    <row r="2" spans="1:33" ht="24.6" x14ac:dyDescent="0.4">
      <c r="A2" s="1" t="s">
        <v>82</v>
      </c>
      <c r="G2" s="4"/>
      <c r="I2" s="422" t="s">
        <v>157</v>
      </c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X2" s="5" t="s">
        <v>0</v>
      </c>
      <c r="Y2" s="6" t="s">
        <v>79</v>
      </c>
      <c r="AB2" s="325" t="s">
        <v>153</v>
      </c>
      <c r="AC2" s="325"/>
    </row>
    <row r="3" spans="1:33" ht="20.25" customHeight="1" x14ac:dyDescent="0.4">
      <c r="A3" s="7" t="s">
        <v>1</v>
      </c>
      <c r="B3" s="7"/>
      <c r="C3" s="7"/>
      <c r="D3" s="8"/>
      <c r="E3" s="7"/>
      <c r="F3" s="7"/>
      <c r="G3" s="9"/>
      <c r="H3" s="7"/>
      <c r="I3" s="10"/>
      <c r="J3" s="7"/>
      <c r="K3" s="7"/>
      <c r="T3" s="11"/>
      <c r="U3" s="11"/>
      <c r="V3" s="12"/>
      <c r="W3" s="13"/>
      <c r="X3" s="14"/>
      <c r="Y3" s="6" t="s">
        <v>2</v>
      </c>
      <c r="AB3" s="325" t="s">
        <v>154</v>
      </c>
      <c r="AC3" s="325"/>
    </row>
    <row r="4" spans="1:33" ht="15.75" customHeight="1" x14ac:dyDescent="0.3">
      <c r="A4" s="15" t="s">
        <v>83</v>
      </c>
      <c r="B4" s="15"/>
      <c r="C4" s="16"/>
      <c r="D4" s="16"/>
      <c r="E4" s="16"/>
      <c r="F4" s="16"/>
      <c r="G4" s="17"/>
      <c r="H4" s="18"/>
      <c r="I4"/>
      <c r="J4"/>
      <c r="K4"/>
      <c r="L4"/>
      <c r="M4"/>
      <c r="N4"/>
      <c r="O4"/>
      <c r="P4"/>
      <c r="Q4"/>
      <c r="R4"/>
      <c r="S4"/>
      <c r="T4"/>
      <c r="U4" s="19"/>
      <c r="V4" s="18"/>
      <c r="W4" s="20"/>
      <c r="X4" s="21"/>
      <c r="Y4" s="6" t="s">
        <v>80</v>
      </c>
    </row>
    <row r="5" spans="1:33" ht="15.75" customHeight="1" thickBot="1" x14ac:dyDescent="0.35">
      <c r="A5" s="15"/>
      <c r="B5" s="15"/>
      <c r="C5" s="16"/>
      <c r="D5" s="16"/>
      <c r="E5" s="16"/>
      <c r="F5" s="16"/>
      <c r="G5" s="18"/>
      <c r="H5" s="18"/>
      <c r="I5"/>
      <c r="J5"/>
      <c r="K5"/>
      <c r="L5"/>
      <c r="M5"/>
      <c r="N5"/>
      <c r="O5"/>
      <c r="P5"/>
      <c r="Q5"/>
      <c r="R5"/>
      <c r="S5"/>
      <c r="T5"/>
      <c r="U5" s="23"/>
      <c r="V5" s="18"/>
      <c r="W5" s="18"/>
      <c r="X5" s="24"/>
      <c r="Y5" s="6"/>
    </row>
    <row r="6" spans="1:33" ht="15.75" customHeight="1" x14ac:dyDescent="0.3">
      <c r="A6" s="15"/>
      <c r="B6" s="15"/>
      <c r="C6" s="16"/>
      <c r="D6" s="16"/>
      <c r="E6" s="16"/>
      <c r="F6" s="16"/>
      <c r="G6" s="18"/>
      <c r="H6" s="18"/>
      <c r="I6" s="18"/>
      <c r="J6" s="18"/>
      <c r="L6" s="301" t="s">
        <v>3</v>
      </c>
      <c r="M6" s="302"/>
      <c r="N6" s="419" t="s">
        <v>4</v>
      </c>
      <c r="O6" s="420"/>
      <c r="P6" s="303" t="s">
        <v>3</v>
      </c>
      <c r="Q6" s="303" t="s">
        <v>5</v>
      </c>
      <c r="R6" s="301" t="s">
        <v>6</v>
      </c>
      <c r="T6" s="299"/>
      <c r="U6" s="299"/>
      <c r="V6" s="421" t="s">
        <v>4</v>
      </c>
      <c r="W6" s="421"/>
      <c r="X6" s="298"/>
      <c r="Y6" s="322"/>
      <c r="Z6" s="322"/>
      <c r="AA6" s="322"/>
      <c r="AB6" s="323"/>
    </row>
    <row r="7" spans="1:33" s="22" customFormat="1" ht="15.75" customHeight="1" x14ac:dyDescent="0.25">
      <c r="B7" s="26"/>
      <c r="C7" s="27">
        <v>2012</v>
      </c>
      <c r="D7" s="27" t="s">
        <v>7</v>
      </c>
      <c r="E7" s="27" t="s">
        <v>8</v>
      </c>
      <c r="F7" s="27" t="s">
        <v>9</v>
      </c>
      <c r="G7" s="22" t="s">
        <v>10</v>
      </c>
      <c r="H7" s="28" t="s">
        <v>11</v>
      </c>
      <c r="I7" s="25" t="s">
        <v>12</v>
      </c>
      <c r="J7" s="25"/>
      <c r="K7" s="25" t="s">
        <v>74</v>
      </c>
      <c r="L7" s="300" t="s">
        <v>13</v>
      </c>
      <c r="M7" s="300" t="s">
        <v>14</v>
      </c>
      <c r="N7" s="305" t="s">
        <v>15</v>
      </c>
      <c r="O7" s="306" t="s">
        <v>16</v>
      </c>
      <c r="P7" s="303" t="s">
        <v>14</v>
      </c>
      <c r="Q7" s="303" t="s">
        <v>17</v>
      </c>
      <c r="R7" s="304" t="s">
        <v>18</v>
      </c>
      <c r="S7" s="25" t="s">
        <v>81</v>
      </c>
      <c r="T7" s="25" t="s">
        <v>87</v>
      </c>
      <c r="U7" s="25" t="s">
        <v>88</v>
      </c>
      <c r="V7" s="29" t="s">
        <v>15</v>
      </c>
      <c r="W7" s="29" t="s">
        <v>16</v>
      </c>
      <c r="X7" s="368" t="s">
        <v>86</v>
      </c>
      <c r="Y7" s="369" t="s">
        <v>19</v>
      </c>
      <c r="Z7" s="25" t="s">
        <v>72</v>
      </c>
      <c r="AA7" s="25" t="s">
        <v>85</v>
      </c>
      <c r="AB7" s="267" t="s">
        <v>84</v>
      </c>
      <c r="AC7" s="25"/>
    </row>
    <row r="8" spans="1:33" ht="12" customHeight="1" x14ac:dyDescent="0.3">
      <c r="C8" s="30"/>
      <c r="D8" s="30"/>
      <c r="E8" s="30"/>
      <c r="F8" s="30"/>
      <c r="H8" s="31"/>
      <c r="I8" s="32"/>
      <c r="J8" s="32"/>
      <c r="K8" s="32"/>
      <c r="L8" s="33"/>
      <c r="M8" s="32"/>
      <c r="N8" s="34"/>
      <c r="O8" s="35"/>
      <c r="Q8" s="36" t="s">
        <v>3</v>
      </c>
      <c r="R8" s="37" t="s">
        <v>3</v>
      </c>
      <c r="S8" s="38"/>
      <c r="T8" s="326" t="s">
        <v>3</v>
      </c>
      <c r="U8" s="326" t="s">
        <v>3</v>
      </c>
      <c r="V8" s="34"/>
      <c r="W8" s="34"/>
      <c r="X8" s="370"/>
      <c r="Y8" s="371"/>
      <c r="Z8" s="38"/>
      <c r="AA8" s="38"/>
      <c r="AB8" s="268"/>
      <c r="AC8" s="32"/>
    </row>
    <row r="9" spans="1:33" ht="15.6" x14ac:dyDescent="0.3">
      <c r="A9" s="40" t="s">
        <v>20</v>
      </c>
      <c r="C9" s="30"/>
      <c r="D9" s="30"/>
      <c r="E9" s="30"/>
      <c r="F9" s="30"/>
      <c r="H9" s="31"/>
      <c r="I9" s="32"/>
      <c r="J9" s="32"/>
      <c r="K9" s="32"/>
      <c r="L9" s="41"/>
      <c r="M9" s="32"/>
      <c r="N9" s="42"/>
      <c r="O9" s="43"/>
      <c r="P9" s="4"/>
      <c r="Q9" s="4"/>
      <c r="R9" s="41"/>
      <c r="S9" s="44"/>
      <c r="T9" s="44"/>
      <c r="U9" s="44"/>
      <c r="V9" s="42"/>
      <c r="W9" s="42"/>
      <c r="X9" s="372"/>
      <c r="Y9" s="373"/>
      <c r="Z9" s="44"/>
      <c r="AA9" s="44"/>
      <c r="AB9" s="269"/>
      <c r="AC9" s="32"/>
    </row>
    <row r="10" spans="1:33" ht="12" customHeight="1" x14ac:dyDescent="0.25">
      <c r="B10" s="2" t="s">
        <v>21</v>
      </c>
      <c r="C10" s="45">
        <v>12452459</v>
      </c>
      <c r="D10" s="45">
        <v>12870426</v>
      </c>
      <c r="E10" s="45">
        <v>13219338</v>
      </c>
      <c r="F10" s="45">
        <v>12645125</v>
      </c>
      <c r="G10" s="45">
        <v>11706423</v>
      </c>
      <c r="H10" s="46">
        <v>12894222</v>
      </c>
      <c r="I10" s="47">
        <v>11025969</v>
      </c>
      <c r="J10" s="47"/>
      <c r="K10" s="47">
        <v>12153012.770000001</v>
      </c>
      <c r="L10" s="48">
        <v>11950550</v>
      </c>
      <c r="M10" s="47">
        <v>12132294</v>
      </c>
      <c r="N10" s="49">
        <f t="shared" ref="N10:N16" si="0">-L10+M10</f>
        <v>181744</v>
      </c>
      <c r="O10" s="50">
        <f>+N10/L10</f>
        <v>1.5208002978942392E-2</v>
      </c>
      <c r="P10" s="51">
        <f>11950550+181744</f>
        <v>12132294</v>
      </c>
      <c r="Q10" s="45">
        <v>12882158</v>
      </c>
      <c r="R10" s="48">
        <v>11497073</v>
      </c>
      <c r="S10" s="47">
        <v>10819530.960000001</v>
      </c>
      <c r="T10" s="47">
        <v>9500245.5599999968</v>
      </c>
      <c r="U10" s="47">
        <v>10032631.960000001</v>
      </c>
      <c r="V10" s="49">
        <f t="shared" ref="V10:V16" si="1">-R10+U10</f>
        <v>-1464441.0399999991</v>
      </c>
      <c r="W10" s="126">
        <f>+V10/R10</f>
        <v>-0.12737511886721073</v>
      </c>
      <c r="X10" s="374">
        <v>9278657</v>
      </c>
      <c r="Y10" s="375">
        <v>9522783.6399999987</v>
      </c>
      <c r="Z10" s="94">
        <v>9680223.315200001</v>
      </c>
      <c r="AA10" s="94">
        <v>9846133.9173280001</v>
      </c>
      <c r="AB10" s="359">
        <v>10030828.076299561</v>
      </c>
      <c r="AC10" s="44"/>
      <c r="AD10" s="44" t="s">
        <v>3</v>
      </c>
      <c r="AE10" s="44" t="s">
        <v>3</v>
      </c>
      <c r="AF10" s="44" t="s">
        <v>3</v>
      </c>
      <c r="AG10" s="44" t="s">
        <v>3</v>
      </c>
    </row>
    <row r="11" spans="1:33" ht="12" customHeight="1" x14ac:dyDescent="0.25">
      <c r="B11" s="2" t="s">
        <v>22</v>
      </c>
      <c r="C11" s="52">
        <f>5144430+2620625</f>
        <v>7765055</v>
      </c>
      <c r="D11" s="52">
        <f>6277143+2587255</f>
        <v>8864398</v>
      </c>
      <c r="E11" s="52">
        <f>5613872+2674882</f>
        <v>8288754</v>
      </c>
      <c r="F11" s="52">
        <f>6618866+2687032</f>
        <v>9305898</v>
      </c>
      <c r="G11" s="52">
        <v>8349976</v>
      </c>
      <c r="H11" s="53">
        <v>9703950</v>
      </c>
      <c r="I11" s="54">
        <f>6660599+2743689</f>
        <v>9404288</v>
      </c>
      <c r="J11" s="54"/>
      <c r="K11" s="59">
        <v>8963170.3499999996</v>
      </c>
      <c r="L11" s="60">
        <f>6572875+2857000</f>
        <v>9429875</v>
      </c>
      <c r="M11" s="59">
        <v>9079875</v>
      </c>
      <c r="N11" s="56">
        <f t="shared" si="0"/>
        <v>-350000</v>
      </c>
      <c r="O11" s="50">
        <f t="shared" ref="O11:O16" si="2">+N11/L11</f>
        <v>-3.7116080541894775E-2</v>
      </c>
      <c r="P11" s="61">
        <f>6572875+2857000-350000</f>
        <v>9079875</v>
      </c>
      <c r="Q11" s="62">
        <v>9875000</v>
      </c>
      <c r="R11" s="60">
        <v>9495240</v>
      </c>
      <c r="S11" s="59">
        <v>9522579.3300000001</v>
      </c>
      <c r="T11" s="59">
        <v>2576968</v>
      </c>
      <c r="U11" s="59">
        <v>2815500</v>
      </c>
      <c r="V11" s="56" t="e">
        <f>-R11+#REF!</f>
        <v>#REF!</v>
      </c>
      <c r="W11" s="126" t="e">
        <f t="shared" ref="W11:W16" si="3">+V11/R11</f>
        <v>#REF!</v>
      </c>
      <c r="X11" s="376">
        <v>8376475</v>
      </c>
      <c r="Y11" s="377">
        <v>8020460</v>
      </c>
      <c r="Z11" s="99">
        <v>7831350</v>
      </c>
      <c r="AA11" s="99">
        <v>7873245</v>
      </c>
      <c r="AB11" s="277">
        <v>8407955.25</v>
      </c>
      <c r="AC11" s="191"/>
      <c r="AD11" s="64"/>
    </row>
    <row r="12" spans="1:33" ht="12" customHeight="1" x14ac:dyDescent="0.25">
      <c r="B12" s="2" t="s">
        <v>23</v>
      </c>
      <c r="C12" s="52">
        <v>5711188</v>
      </c>
      <c r="D12" s="52">
        <v>5543754</v>
      </c>
      <c r="E12" s="52">
        <v>5459793</v>
      </c>
      <c r="F12" s="52">
        <v>5415745</v>
      </c>
      <c r="G12" s="52">
        <v>5515846</v>
      </c>
      <c r="H12" s="58">
        <v>5538000</v>
      </c>
      <c r="I12" s="59">
        <v>5294533</v>
      </c>
      <c r="J12" s="59"/>
      <c r="K12" s="59">
        <v>5369789.2699999996</v>
      </c>
      <c r="L12" s="60">
        <v>5354600</v>
      </c>
      <c r="M12" s="59">
        <v>5342600</v>
      </c>
      <c r="N12" s="56">
        <f t="shared" si="0"/>
        <v>-12000</v>
      </c>
      <c r="O12" s="50">
        <f t="shared" si="2"/>
        <v>-2.2410637582639227E-3</v>
      </c>
      <c r="P12" s="61">
        <v>5342600</v>
      </c>
      <c r="Q12" s="62">
        <v>5650300</v>
      </c>
      <c r="R12" s="60">
        <v>5391800</v>
      </c>
      <c r="S12" s="59">
        <v>5309136</v>
      </c>
      <c r="T12" s="59">
        <v>5080879</v>
      </c>
      <c r="U12" s="59">
        <v>3717768</v>
      </c>
      <c r="V12" s="56" t="e">
        <f>-R12+#REF!</f>
        <v>#REF!</v>
      </c>
      <c r="W12" s="126" t="e">
        <f t="shared" si="3"/>
        <v>#REF!</v>
      </c>
      <c r="X12" s="378">
        <v>4255792</v>
      </c>
      <c r="Y12" s="379">
        <v>5105554.58</v>
      </c>
      <c r="Z12" s="59">
        <v>5333128.2077920008</v>
      </c>
      <c r="AA12" s="59">
        <v>5573011.3257752508</v>
      </c>
      <c r="AB12" s="271">
        <v>5824603.5096432315</v>
      </c>
      <c r="AC12" s="191"/>
    </row>
    <row r="13" spans="1:33" ht="12" customHeight="1" x14ac:dyDescent="0.25">
      <c r="B13" s="2" t="s">
        <v>24</v>
      </c>
      <c r="C13" s="52">
        <v>15337545</v>
      </c>
      <c r="D13" s="52">
        <v>13489583</v>
      </c>
      <c r="E13" s="52">
        <v>15581358</v>
      </c>
      <c r="F13" s="52">
        <v>14308907</v>
      </c>
      <c r="G13" s="52">
        <v>15813475</v>
      </c>
      <c r="H13" s="58">
        <v>13611230</v>
      </c>
      <c r="I13" s="59">
        <v>13805979</v>
      </c>
      <c r="J13" s="59"/>
      <c r="K13" s="59">
        <v>16282664</v>
      </c>
      <c r="L13" s="60">
        <f>16309466-259057</f>
        <v>16050409</v>
      </c>
      <c r="M13" s="59">
        <v>16050409</v>
      </c>
      <c r="N13" s="56">
        <f t="shared" si="0"/>
        <v>0</v>
      </c>
      <c r="O13" s="50">
        <f t="shared" si="2"/>
        <v>0</v>
      </c>
      <c r="P13" s="61">
        <f>+L13</f>
        <v>16050409</v>
      </c>
      <c r="Q13" s="62">
        <v>13799977</v>
      </c>
      <c r="R13" s="60">
        <v>13462337</v>
      </c>
      <c r="S13" s="59">
        <v>13434551.75</v>
      </c>
      <c r="T13" s="59">
        <v>14354200.85</v>
      </c>
      <c r="U13" s="59">
        <v>11166643.6666667</v>
      </c>
      <c r="V13" s="56">
        <f t="shared" si="1"/>
        <v>-2295693.3333333004</v>
      </c>
      <c r="W13" s="126">
        <f t="shared" si="3"/>
        <v>-0.17052710337984411</v>
      </c>
      <c r="X13" s="378">
        <v>12574660.92</v>
      </c>
      <c r="Y13" s="379">
        <f>+U13</f>
        <v>11166643.6666667</v>
      </c>
      <c r="Z13" s="59">
        <f>+X13</f>
        <v>12574660.92</v>
      </c>
      <c r="AA13" s="59">
        <f>+Y13</f>
        <v>11166643.6666667</v>
      </c>
      <c r="AB13" s="271">
        <f>+Z13</f>
        <v>12574660.92</v>
      </c>
      <c r="AC13" s="32"/>
      <c r="AD13" s="4"/>
    </row>
    <row r="14" spans="1:33" ht="12" customHeight="1" x14ac:dyDescent="0.25">
      <c r="B14" s="2" t="s">
        <v>25</v>
      </c>
      <c r="C14" s="52">
        <v>350582</v>
      </c>
      <c r="D14" s="52">
        <v>410750</v>
      </c>
      <c r="E14" s="52">
        <v>358256</v>
      </c>
      <c r="F14" s="52">
        <v>428775</v>
      </c>
      <c r="G14" s="52">
        <v>434927</v>
      </c>
      <c r="H14" s="53">
        <v>441908</v>
      </c>
      <c r="I14" s="54">
        <v>467454</v>
      </c>
      <c r="J14" s="54"/>
      <c r="K14" s="54">
        <v>557998</v>
      </c>
      <c r="L14" s="55">
        <v>419592</v>
      </c>
      <c r="M14" s="54">
        <v>419592</v>
      </c>
      <c r="N14" s="56">
        <f t="shared" si="0"/>
        <v>0</v>
      </c>
      <c r="O14" s="50">
        <f t="shared" si="2"/>
        <v>0</v>
      </c>
      <c r="P14" s="57">
        <v>419592</v>
      </c>
      <c r="Q14" s="52">
        <v>400000</v>
      </c>
      <c r="R14" s="55">
        <v>400784</v>
      </c>
      <c r="S14" s="54">
        <v>687264</v>
      </c>
      <c r="T14" s="54">
        <v>530738</v>
      </c>
      <c r="U14" s="59">
        <v>571553</v>
      </c>
      <c r="V14" s="56">
        <f t="shared" si="1"/>
        <v>170769</v>
      </c>
      <c r="W14" s="126">
        <f t="shared" si="3"/>
        <v>0.4260873687572358</v>
      </c>
      <c r="X14" s="376">
        <v>501149</v>
      </c>
      <c r="Y14" s="380">
        <v>500000</v>
      </c>
      <c r="Z14" s="54">
        <f>+Y14</f>
        <v>500000</v>
      </c>
      <c r="AA14" s="54">
        <f>+Y14</f>
        <v>500000</v>
      </c>
      <c r="AB14" s="270">
        <f>+Y14</f>
        <v>500000</v>
      </c>
      <c r="AC14" s="32"/>
    </row>
    <row r="15" spans="1:33" ht="12" customHeight="1" x14ac:dyDescent="0.25">
      <c r="B15" s="2" t="s">
        <v>26</v>
      </c>
      <c r="C15" s="54">
        <v>5750398</v>
      </c>
      <c r="D15" s="54">
        <v>6922284</v>
      </c>
      <c r="E15" s="54">
        <v>4954945</v>
      </c>
      <c r="F15" s="54">
        <v>7224274</v>
      </c>
      <c r="G15" s="54">
        <v>6329463</v>
      </c>
      <c r="H15" s="53">
        <v>4491310</v>
      </c>
      <c r="I15" s="59">
        <v>6319708</v>
      </c>
      <c r="J15" s="59"/>
      <c r="K15" s="59">
        <v>6970509</v>
      </c>
      <c r="L15" s="60">
        <f>6055953+48790</f>
        <v>6104743</v>
      </c>
      <c r="M15" s="59">
        <v>6104743</v>
      </c>
      <c r="N15" s="56">
        <f t="shared" si="0"/>
        <v>0</v>
      </c>
      <c r="O15" s="50">
        <f t="shared" si="2"/>
        <v>0</v>
      </c>
      <c r="P15" s="61">
        <f>+L15</f>
        <v>6104743</v>
      </c>
      <c r="Q15" s="59">
        <v>5500000</v>
      </c>
      <c r="R15" s="60">
        <v>3651680</v>
      </c>
      <c r="S15" s="59">
        <v>7310331.8700000001</v>
      </c>
      <c r="T15" s="59">
        <v>3802611</v>
      </c>
      <c r="U15" s="59">
        <v>5470482</v>
      </c>
      <c r="V15" s="56">
        <f t="shared" si="1"/>
        <v>1818802</v>
      </c>
      <c r="W15" s="126">
        <f t="shared" si="3"/>
        <v>0.49807266792270954</v>
      </c>
      <c r="X15" s="376">
        <v>3751711.43956374</v>
      </c>
      <c r="Y15" s="380">
        <v>7527535.8554916456</v>
      </c>
      <c r="Z15" s="54">
        <v>7836042.6482662279</v>
      </c>
      <c r="AA15" s="54">
        <v>8159974.7806795388</v>
      </c>
      <c r="AB15" s="270">
        <v>8500103.5197135173</v>
      </c>
      <c r="AC15" s="255"/>
      <c r="AF15" s="32"/>
      <c r="AG15" s="32"/>
    </row>
    <row r="16" spans="1:33" ht="12" customHeight="1" x14ac:dyDescent="0.25">
      <c r="B16" s="2" t="s">
        <v>27</v>
      </c>
      <c r="C16" s="52">
        <f>+C29+592912</f>
        <v>1344857.03</v>
      </c>
      <c r="D16" s="52">
        <f>+D29+521164</f>
        <v>1220123</v>
      </c>
      <c r="E16" s="52">
        <f>+E29+745498</f>
        <v>1449064.6600000001</v>
      </c>
      <c r="F16" s="52">
        <f>+F29+693211</f>
        <v>1780996</v>
      </c>
      <c r="G16" s="52">
        <v>2104677</v>
      </c>
      <c r="H16" s="53">
        <v>2197358</v>
      </c>
      <c r="I16" s="54">
        <f>+I29+326327+219501</f>
        <v>1879361</v>
      </c>
      <c r="J16" s="54"/>
      <c r="K16" s="52">
        <f>+K29+470495+364446</f>
        <v>1945351</v>
      </c>
      <c r="L16" s="313">
        <f>+L29+367909-1</f>
        <v>1567908</v>
      </c>
      <c r="M16" s="311">
        <v>1492909</v>
      </c>
      <c r="N16" s="311">
        <f t="shared" si="0"/>
        <v>-74999</v>
      </c>
      <c r="O16" s="314">
        <f t="shared" si="2"/>
        <v>-4.7833801473045612E-2</v>
      </c>
      <c r="P16" s="315">
        <f>+P29+367909</f>
        <v>1492909</v>
      </c>
      <c r="Q16" s="312">
        <v>2000000</v>
      </c>
      <c r="R16" s="313">
        <v>1775296</v>
      </c>
      <c r="S16" s="52">
        <f>+S29+924279+301669</f>
        <v>2030134</v>
      </c>
      <c r="T16" s="54">
        <f>+T29+590081+595161</f>
        <v>1885242</v>
      </c>
      <c r="U16" s="54">
        <f>+U29+936474</f>
        <v>3130896.5</v>
      </c>
      <c r="V16" s="311">
        <f t="shared" si="1"/>
        <v>1355600.5</v>
      </c>
      <c r="W16" s="316">
        <f t="shared" si="3"/>
        <v>0.76359125464147948</v>
      </c>
      <c r="X16" s="376">
        <f>-788911+X29</f>
        <v>1275129</v>
      </c>
      <c r="Y16" s="380">
        <f>+Y29+1000000</f>
        <v>1700000</v>
      </c>
      <c r="Z16" s="54">
        <f>+Z29+1000000</f>
        <v>1700000</v>
      </c>
      <c r="AA16" s="54">
        <f>+AA29+1000000</f>
        <v>1700000</v>
      </c>
      <c r="AB16" s="270">
        <f>+AB29+1000000</f>
        <v>1700000</v>
      </c>
      <c r="AC16" s="32"/>
      <c r="AG16" s="63"/>
    </row>
    <row r="17" spans="1:34" ht="12" customHeight="1" x14ac:dyDescent="0.25">
      <c r="B17" s="2" t="s">
        <v>89</v>
      </c>
      <c r="C17" s="52"/>
      <c r="D17" s="52"/>
      <c r="E17" s="52"/>
      <c r="F17" s="52"/>
      <c r="G17" s="52"/>
      <c r="H17" s="53"/>
      <c r="I17" s="52">
        <f>+I30</f>
        <v>0</v>
      </c>
      <c r="J17" s="328"/>
      <c r="K17" s="52">
        <f>+K30</f>
        <v>205003</v>
      </c>
      <c r="L17" s="330"/>
      <c r="M17" s="328"/>
      <c r="N17" s="328"/>
      <c r="O17" s="331"/>
      <c r="P17" s="332"/>
      <c r="Q17" s="329"/>
      <c r="R17" s="330"/>
      <c r="S17" s="54">
        <f>+S30</f>
        <v>52500</v>
      </c>
      <c r="T17" s="54">
        <f>+T30</f>
        <v>25000</v>
      </c>
      <c r="U17" s="54">
        <f>+U30</f>
        <v>2500000</v>
      </c>
      <c r="V17" s="56"/>
      <c r="W17" s="126"/>
      <c r="X17" s="376">
        <f>+X30</f>
        <v>3000000</v>
      </c>
      <c r="Y17" s="380">
        <f t="shared" ref="Y17:AB17" si="4">+Y30</f>
        <v>3500000</v>
      </c>
      <c r="Z17" s="54">
        <f t="shared" si="4"/>
        <v>5000000</v>
      </c>
      <c r="AA17" s="54">
        <f t="shared" si="4"/>
        <v>6000000</v>
      </c>
      <c r="AB17" s="270">
        <f t="shared" si="4"/>
        <v>6500000</v>
      </c>
      <c r="AC17" s="32"/>
      <c r="AD17" s="64"/>
      <c r="AG17" s="63"/>
    </row>
    <row r="18" spans="1:34" ht="12" customHeight="1" x14ac:dyDescent="0.25">
      <c r="B18" s="2" t="s">
        <v>90</v>
      </c>
      <c r="C18" s="52"/>
      <c r="D18" s="52"/>
      <c r="E18" s="52"/>
      <c r="F18" s="52"/>
      <c r="G18" s="52"/>
      <c r="H18" s="53"/>
      <c r="I18" s="54"/>
      <c r="J18" s="54"/>
      <c r="K18" s="52"/>
      <c r="L18" s="55"/>
      <c r="M18" s="54"/>
      <c r="N18" s="54"/>
      <c r="O18" s="337"/>
      <c r="P18" s="57"/>
      <c r="Q18" s="52"/>
      <c r="R18" s="55"/>
      <c r="S18" s="54"/>
      <c r="T18" s="54"/>
      <c r="U18" s="54"/>
      <c r="V18" s="56"/>
      <c r="W18" s="126"/>
      <c r="X18" s="376">
        <v>675989</v>
      </c>
      <c r="Y18" s="380">
        <f>X18*1.09</f>
        <v>736828.01</v>
      </c>
      <c r="Z18" s="54">
        <f t="shared" ref="Z18:AB18" si="5">Y18*1.09</f>
        <v>803142.53090000001</v>
      </c>
      <c r="AA18" s="54">
        <f t="shared" si="5"/>
        <v>875425.35868100007</v>
      </c>
      <c r="AB18" s="270">
        <f t="shared" si="5"/>
        <v>954213.64096229011</v>
      </c>
      <c r="AC18" s="32"/>
      <c r="AD18" s="64"/>
      <c r="AG18" s="63"/>
    </row>
    <row r="19" spans="1:34" ht="12" customHeight="1" x14ac:dyDescent="0.25">
      <c r="B19" s="2" t="s">
        <v>77</v>
      </c>
      <c r="C19" s="65">
        <f t="shared" ref="C19:AB19" si="6">+C32</f>
        <v>565188.27</v>
      </c>
      <c r="D19" s="65">
        <f t="shared" si="6"/>
        <v>685373</v>
      </c>
      <c r="E19" s="65">
        <f t="shared" si="6"/>
        <v>594720.68000000005</v>
      </c>
      <c r="F19" s="65">
        <f t="shared" si="6"/>
        <v>569870</v>
      </c>
      <c r="G19" s="65">
        <f t="shared" si="6"/>
        <v>564475</v>
      </c>
      <c r="H19" s="66">
        <v>569190</v>
      </c>
      <c r="I19" s="65">
        <f t="shared" si="6"/>
        <v>611335</v>
      </c>
      <c r="J19" s="317"/>
      <c r="K19" s="65">
        <f>+K32</f>
        <v>743060</v>
      </c>
      <c r="L19" s="318">
        <f>+L32</f>
        <v>846888</v>
      </c>
      <c r="M19" s="317">
        <v>920000</v>
      </c>
      <c r="N19" s="317">
        <f>-L19+M19</f>
        <v>73112</v>
      </c>
      <c r="O19" s="319">
        <f t="shared" ref="O19" si="7">+N19/L19</f>
        <v>8.6330187698963737E-2</v>
      </c>
      <c r="P19" s="320">
        <f>+P32</f>
        <v>920000</v>
      </c>
      <c r="Q19" s="317">
        <v>607395</v>
      </c>
      <c r="R19" s="318">
        <v>616043</v>
      </c>
      <c r="S19" s="65">
        <f>+S32</f>
        <v>512540.76</v>
      </c>
      <c r="T19" s="65">
        <f>+T32</f>
        <v>442330</v>
      </c>
      <c r="U19" s="65">
        <f>+U32</f>
        <v>475048</v>
      </c>
      <c r="V19" s="68">
        <f>-R19+U19</f>
        <v>-140995</v>
      </c>
      <c r="W19" s="253">
        <f t="shared" ref="W19" si="8">+V19/R19</f>
        <v>-0.22887201055770456</v>
      </c>
      <c r="X19" s="381">
        <f>+X32</f>
        <v>356254</v>
      </c>
      <c r="Y19" s="382">
        <f t="shared" si="6"/>
        <v>356254</v>
      </c>
      <c r="Z19" s="65">
        <f t="shared" si="6"/>
        <v>356254</v>
      </c>
      <c r="AA19" s="65">
        <f t="shared" si="6"/>
        <v>356254</v>
      </c>
      <c r="AB19" s="272">
        <f t="shared" si="6"/>
        <v>356254</v>
      </c>
      <c r="AC19" s="191"/>
      <c r="AD19" s="64"/>
      <c r="AG19" s="63"/>
    </row>
    <row r="20" spans="1:34" ht="12" customHeight="1" x14ac:dyDescent="0.25">
      <c r="C20" s="52"/>
      <c r="D20" s="52"/>
      <c r="E20" s="52"/>
      <c r="F20" s="52"/>
      <c r="G20" s="30"/>
      <c r="H20" s="71"/>
      <c r="I20" s="72"/>
      <c r="J20" s="72"/>
      <c r="K20" s="72"/>
      <c r="L20" s="73"/>
      <c r="M20" s="72"/>
      <c r="N20" s="74"/>
      <c r="O20" s="75"/>
      <c r="P20" s="76"/>
      <c r="Q20" s="30"/>
      <c r="R20" s="73"/>
      <c r="S20" s="72"/>
      <c r="T20" s="72"/>
      <c r="U20" s="72"/>
      <c r="V20" s="74"/>
      <c r="W20" s="74"/>
      <c r="X20" s="383"/>
      <c r="Y20" s="384"/>
      <c r="Z20" s="72"/>
      <c r="AA20" s="72"/>
      <c r="AB20" s="273"/>
      <c r="AC20" s="32"/>
      <c r="AG20" s="63"/>
    </row>
    <row r="21" spans="1:34" ht="12" customHeight="1" thickBot="1" x14ac:dyDescent="0.3">
      <c r="B21" s="77" t="s">
        <v>28</v>
      </c>
      <c r="C21" s="78">
        <f>SUM(C10:C20)</f>
        <v>49277272.300000004</v>
      </c>
      <c r="D21" s="78">
        <f>SUM(D10:D20)</f>
        <v>50006691</v>
      </c>
      <c r="E21" s="78">
        <f>SUM(E10:E20)</f>
        <v>49906229.339999996</v>
      </c>
      <c r="F21" s="78">
        <f>SUM(F10:F20)</f>
        <v>51679590</v>
      </c>
      <c r="G21" s="78">
        <f>SUM(G10:G20)</f>
        <v>50819262</v>
      </c>
      <c r="H21" s="79">
        <f>SUM(H10:H19)</f>
        <v>49447168</v>
      </c>
      <c r="I21" s="78">
        <f>SUM(I10:I20)</f>
        <v>48808627</v>
      </c>
      <c r="J21" s="78"/>
      <c r="K21" s="78">
        <f>SUM(K10:K20)</f>
        <v>53190557.390000001</v>
      </c>
      <c r="L21" s="80">
        <f>SUM(L10:L20)</f>
        <v>51724565</v>
      </c>
      <c r="M21" s="78">
        <f>SUM(M10:M20)</f>
        <v>51542422</v>
      </c>
      <c r="N21" s="81">
        <f>SUM(N10:N19)</f>
        <v>-182143</v>
      </c>
      <c r="O21" s="82">
        <f>+N21/L21</f>
        <v>-3.5214022582886876E-3</v>
      </c>
      <c r="P21" s="83">
        <f>SUM(P10:P20)</f>
        <v>51542422</v>
      </c>
      <c r="Q21" s="78">
        <v>50714830</v>
      </c>
      <c r="R21" s="80">
        <f>SUM(R10:R20)</f>
        <v>46290253</v>
      </c>
      <c r="S21" s="78">
        <f>SUM(S10:S20)</f>
        <v>49678568.669999994</v>
      </c>
      <c r="T21" s="78">
        <f>SUM(T10:T20)</f>
        <v>38198214.409999996</v>
      </c>
      <c r="U21" s="78">
        <f>SUM(U10:U20)</f>
        <v>39880523.126666702</v>
      </c>
      <c r="V21" s="81" t="e">
        <f>SUM(V10:V19)</f>
        <v>#REF!</v>
      </c>
      <c r="W21" s="294" t="e">
        <f>+V21/R21</f>
        <v>#REF!</v>
      </c>
      <c r="X21" s="385">
        <f>SUM(X10:X20)</f>
        <v>44045817.359563738</v>
      </c>
      <c r="Y21" s="386">
        <f>SUM(Y10:Y20)</f>
        <v>48136059.752158344</v>
      </c>
      <c r="Z21" s="78">
        <f>SUM(Z10:Z20)</f>
        <v>51614801.622158229</v>
      </c>
      <c r="AA21" s="78">
        <f>SUM(AA10:AA20)</f>
        <v>52050688.049130492</v>
      </c>
      <c r="AB21" s="274">
        <f>SUM(AB10:AB20)</f>
        <v>55348618.9166186</v>
      </c>
      <c r="AC21" s="191"/>
      <c r="AE21" s="212"/>
      <c r="AG21" s="63"/>
    </row>
    <row r="22" spans="1:34" ht="12" customHeight="1" thickTop="1" x14ac:dyDescent="0.3">
      <c r="C22" s="30"/>
      <c r="D22" s="30"/>
      <c r="E22" s="30"/>
      <c r="F22" s="30"/>
      <c r="H22" s="31"/>
      <c r="I22" s="32"/>
      <c r="J22" s="32"/>
      <c r="K22" s="32"/>
      <c r="L22" s="33"/>
      <c r="M22" s="32"/>
      <c r="N22" s="34"/>
      <c r="O22" s="35"/>
      <c r="P22" s="84"/>
      <c r="Q22"/>
      <c r="R22" s="85"/>
      <c r="S22" s="105"/>
      <c r="T22" s="32"/>
      <c r="U22" s="32"/>
      <c r="V22" s="34"/>
      <c r="W22" s="34"/>
      <c r="X22" s="387"/>
      <c r="Y22" s="388"/>
      <c r="Z22" s="32"/>
      <c r="AA22" s="32"/>
      <c r="AB22" s="275"/>
      <c r="AC22" s="32"/>
    </row>
    <row r="23" spans="1:34" ht="16.2" thickBot="1" x14ac:dyDescent="0.35">
      <c r="A23" s="40" t="s">
        <v>29</v>
      </c>
      <c r="C23" s="86">
        <v>0.255</v>
      </c>
      <c r="D23" s="86">
        <v>0.255</v>
      </c>
      <c r="E23" s="86">
        <v>0.24199999999999999</v>
      </c>
      <c r="F23" s="86">
        <v>0.254</v>
      </c>
      <c r="G23" s="86">
        <v>0.25900000000000001</v>
      </c>
      <c r="H23" s="87">
        <v>0.26400000000000001</v>
      </c>
      <c r="I23" s="86">
        <v>0.26400000000000001</v>
      </c>
      <c r="J23" s="86"/>
      <c r="K23" s="86">
        <v>0.26400000000000001</v>
      </c>
      <c r="L23" s="88">
        <v>0.26400000000000001</v>
      </c>
      <c r="M23" s="86">
        <v>0.26400000000000001</v>
      </c>
      <c r="N23" s="89"/>
      <c r="O23" s="90"/>
      <c r="P23" s="91">
        <v>0.26400000000000001</v>
      </c>
      <c r="Q23" s="86">
        <v>0.26400000000000001</v>
      </c>
      <c r="R23" s="88">
        <v>0.26500000000000001</v>
      </c>
      <c r="S23" s="86">
        <v>0.26500000000000001</v>
      </c>
      <c r="T23" s="86">
        <v>0.26500000000000001</v>
      </c>
      <c r="U23" s="86">
        <v>0.26500000000000001</v>
      </c>
      <c r="V23" s="89"/>
      <c r="W23" s="89"/>
      <c r="X23" s="389">
        <f>+U23</f>
        <v>0.26500000000000001</v>
      </c>
      <c r="Y23" s="390">
        <f>+X23</f>
        <v>0.26500000000000001</v>
      </c>
      <c r="Z23" s="86">
        <f>+Y23</f>
        <v>0.26500000000000001</v>
      </c>
      <c r="AA23" s="86">
        <f>+Y23</f>
        <v>0.26500000000000001</v>
      </c>
      <c r="AB23" s="276">
        <f>+Z23</f>
        <v>0.26500000000000001</v>
      </c>
      <c r="AC23" s="32"/>
      <c r="AD23" s="92"/>
    </row>
    <row r="24" spans="1:34" ht="12" customHeight="1" thickTop="1" x14ac:dyDescent="0.3">
      <c r="C24" s="30"/>
      <c r="D24" s="30"/>
      <c r="E24" s="30"/>
      <c r="F24" s="30"/>
      <c r="H24" s="31"/>
      <c r="I24" s="32"/>
      <c r="J24" s="32"/>
      <c r="K24" s="32"/>
      <c r="L24" s="33"/>
      <c r="M24" s="32"/>
      <c r="N24" s="34"/>
      <c r="O24" s="35"/>
      <c r="P24" s="84"/>
      <c r="Q24"/>
      <c r="R24" s="33"/>
      <c r="S24" s="32"/>
      <c r="T24" s="32"/>
      <c r="U24" s="32"/>
      <c r="V24" s="34"/>
      <c r="W24" s="34"/>
      <c r="X24" s="387"/>
      <c r="Y24" s="388"/>
      <c r="Z24" s="32"/>
      <c r="AA24" s="32"/>
      <c r="AB24" s="275"/>
      <c r="AC24" s="32"/>
      <c r="AF24" s="93"/>
      <c r="AG24" s="93"/>
      <c r="AH24" s="93"/>
    </row>
    <row r="25" spans="1:34" ht="15.6" x14ac:dyDescent="0.3">
      <c r="A25" s="40" t="s">
        <v>30</v>
      </c>
      <c r="C25" s="30"/>
      <c r="D25" s="30"/>
      <c r="E25" s="30"/>
      <c r="F25" s="30"/>
      <c r="H25" s="31"/>
      <c r="I25" s="32"/>
      <c r="J25" s="32"/>
      <c r="K25" s="32"/>
      <c r="L25" s="33"/>
      <c r="M25" s="32"/>
      <c r="N25" s="34"/>
      <c r="O25" s="35"/>
      <c r="P25" s="84"/>
      <c r="Q25"/>
      <c r="R25" s="33"/>
      <c r="S25" s="32" t="s">
        <v>3</v>
      </c>
      <c r="T25" s="32"/>
      <c r="U25" s="32"/>
      <c r="V25" s="34"/>
      <c r="W25" s="34"/>
      <c r="X25" s="387"/>
      <c r="Y25" s="388"/>
      <c r="Z25" s="32"/>
      <c r="AA25" s="32"/>
      <c r="AB25" s="275"/>
      <c r="AC25" s="32"/>
      <c r="AD25" s="99"/>
      <c r="AE25" s="99"/>
      <c r="AF25" s="99"/>
      <c r="AG25" s="99"/>
    </row>
    <row r="26" spans="1:34" ht="12" customHeight="1" x14ac:dyDescent="0.25">
      <c r="B26" s="2" t="s">
        <v>31</v>
      </c>
      <c r="C26" s="45">
        <f>-70260.9600000008+C134</f>
        <v>264618.0199999992</v>
      </c>
      <c r="D26" s="45">
        <f>355218+D134</f>
        <v>1024975</v>
      </c>
      <c r="E26" s="45">
        <f>'[1]OC data'!L49+E134</f>
        <v>1544398.249090909</v>
      </c>
      <c r="F26" s="45">
        <f>630008+F134</f>
        <v>1119673.9090909092</v>
      </c>
      <c r="G26" s="94">
        <f>472095+G134</f>
        <v>841510.90909090906</v>
      </c>
      <c r="H26" s="95">
        <f>1179979+H134</f>
        <v>1540144.9090909092</v>
      </c>
      <c r="I26" s="96">
        <f>119826+I134</f>
        <v>479991.90909090906</v>
      </c>
      <c r="J26" s="44">
        <f>I26/$I$73</f>
        <v>3.0291407100884474E-2</v>
      </c>
      <c r="K26" s="96">
        <f>-95370+K134</f>
        <v>264796</v>
      </c>
      <c r="L26" s="97">
        <f>242273+L134</f>
        <v>602439</v>
      </c>
      <c r="M26" s="96">
        <v>592933</v>
      </c>
      <c r="N26" s="49">
        <f>-L26+M26</f>
        <v>-9506</v>
      </c>
      <c r="O26" s="50">
        <f>+N26/L26</f>
        <v>-1.577919092223445E-2</v>
      </c>
      <c r="P26" s="98">
        <f>232767+P134</f>
        <v>592933</v>
      </c>
      <c r="Q26" s="94">
        <v>1257246.5</v>
      </c>
      <c r="R26" s="97">
        <v>149809</v>
      </c>
      <c r="S26" s="96">
        <f>-152442+S134+1</f>
        <v>111843</v>
      </c>
      <c r="T26" s="96">
        <v>-285061.08500000322</v>
      </c>
      <c r="U26" s="96">
        <f>529129+U113</f>
        <v>697529</v>
      </c>
      <c r="V26" s="49">
        <f>-R26+U26</f>
        <v>547720</v>
      </c>
      <c r="W26" s="126">
        <f>+V26/R26</f>
        <v>3.6561221288440615</v>
      </c>
      <c r="X26" s="374">
        <v>215335.26672903</v>
      </c>
      <c r="Y26" s="375">
        <v>304333.88472599722</v>
      </c>
      <c r="Z26" s="94">
        <v>322365.23717252165</v>
      </c>
      <c r="AA26" s="94">
        <v>344253.18406449072</v>
      </c>
      <c r="AB26" s="359">
        <v>342984.84600515664</v>
      </c>
      <c r="AC26" s="32"/>
      <c r="AD26" s="99"/>
      <c r="AE26" s="99"/>
      <c r="AF26" s="99"/>
      <c r="AG26" s="99"/>
    </row>
    <row r="27" spans="1:34" ht="12" customHeight="1" x14ac:dyDescent="0.25">
      <c r="B27" s="2" t="s">
        <v>32</v>
      </c>
      <c r="C27" s="52">
        <v>834204.54000000097</v>
      </c>
      <c r="D27" s="52">
        <v>1115900</v>
      </c>
      <c r="E27" s="52">
        <f>'[1]OC data'!L55</f>
        <v>946173.69999999972</v>
      </c>
      <c r="F27" s="52">
        <v>747678</v>
      </c>
      <c r="G27" s="99">
        <v>45871</v>
      </c>
      <c r="H27" s="100">
        <v>730765</v>
      </c>
      <c r="I27" s="101">
        <f>832016-80001</f>
        <v>752015</v>
      </c>
      <c r="J27" s="44">
        <f>I27/$I$73</f>
        <v>4.7458284357574973E-2</v>
      </c>
      <c r="K27" s="101">
        <f>580131-293081-1</f>
        <v>287049</v>
      </c>
      <c r="L27" s="102">
        <f>721964+30748</f>
        <v>752712</v>
      </c>
      <c r="M27" s="101">
        <v>502712</v>
      </c>
      <c r="N27" s="56">
        <f>-L27+M27</f>
        <v>-250000</v>
      </c>
      <c r="O27" s="50">
        <f t="shared" ref="O27:O29" si="9">+N27/L27</f>
        <v>-0.33213234278183423</v>
      </c>
      <c r="P27" s="103">
        <f>721964+30748-250000</f>
        <v>502712</v>
      </c>
      <c r="Q27" s="99">
        <v>693000</v>
      </c>
      <c r="R27" s="102">
        <v>781482</v>
      </c>
      <c r="S27" s="101">
        <v>239575.57999999996</v>
      </c>
      <c r="T27" s="101">
        <v>-1453245</v>
      </c>
      <c r="U27" s="101">
        <v>1181137.723159584</v>
      </c>
      <c r="V27" s="56">
        <f>-R27+U27</f>
        <v>399655.72315958398</v>
      </c>
      <c r="W27" s="126">
        <f t="shared" ref="W27:W29" si="10">+V27/R27</f>
        <v>0.51140745808551447</v>
      </c>
      <c r="X27" s="391">
        <v>562264.74576248496</v>
      </c>
      <c r="Y27" s="392">
        <v>724344.09999999963</v>
      </c>
      <c r="Z27" s="101">
        <v>392554.9299999997</v>
      </c>
      <c r="AA27" s="101">
        <v>402623.70860000025</v>
      </c>
      <c r="AB27" s="277">
        <v>796843.22502199956</v>
      </c>
      <c r="AC27" s="32"/>
      <c r="AD27" s="104"/>
    </row>
    <row r="28" spans="1:34" ht="12" customHeight="1" x14ac:dyDescent="0.25">
      <c r="B28" s="2" t="s">
        <v>33</v>
      </c>
      <c r="C28" s="52">
        <v>5622923.3099999996</v>
      </c>
      <c r="D28" s="52">
        <v>5456303</v>
      </c>
      <c r="E28" s="52">
        <f>'[1]OC data'!L145</f>
        <v>5371098.0899999999</v>
      </c>
      <c r="F28" s="52">
        <v>5327140</v>
      </c>
      <c r="G28" s="99">
        <v>5422789</v>
      </c>
      <c r="H28" s="100">
        <v>5448000</v>
      </c>
      <c r="I28" s="101">
        <v>5195935</v>
      </c>
      <c r="J28" s="44">
        <f>I28/$I$73</f>
        <v>0.32790590710753947</v>
      </c>
      <c r="K28" s="101">
        <f>5369789-97060</f>
        <v>5272729</v>
      </c>
      <c r="L28" s="102">
        <f>+L12-90000</f>
        <v>5264600</v>
      </c>
      <c r="M28" s="101">
        <v>5252600</v>
      </c>
      <c r="N28" s="56">
        <f>-L28+M28</f>
        <v>-12000</v>
      </c>
      <c r="O28" s="50">
        <f t="shared" si="9"/>
        <v>-2.2793754511263912E-3</v>
      </c>
      <c r="P28" s="103">
        <f>+P12-90000</f>
        <v>5252600</v>
      </c>
      <c r="Q28" s="99">
        <v>5559800</v>
      </c>
      <c r="R28" s="102">
        <v>5291800</v>
      </c>
      <c r="S28" s="101">
        <f>+S12-101716</f>
        <v>5207420</v>
      </c>
      <c r="T28" s="101">
        <f>+T12-91864</f>
        <v>4989015</v>
      </c>
      <c r="U28" s="101">
        <f>+U12-110000</f>
        <v>3607768</v>
      </c>
      <c r="V28" s="56">
        <f>-R28+U28</f>
        <v>-1684032</v>
      </c>
      <c r="W28" s="126">
        <f t="shared" si="10"/>
        <v>-0.31823424921576782</v>
      </c>
      <c r="X28" s="391">
        <v>4150792</v>
      </c>
      <c r="Y28" s="392">
        <f>+Y12-110000</f>
        <v>4995554.58</v>
      </c>
      <c r="Z28" s="101">
        <f>+Z12-110000</f>
        <v>5223128.2077920008</v>
      </c>
      <c r="AA28" s="101">
        <f>+AA12-110000</f>
        <v>5463011.3257752508</v>
      </c>
      <c r="AB28" s="277">
        <f>+AB12-110000</f>
        <v>5714603.5096432315</v>
      </c>
      <c r="AC28" s="191"/>
      <c r="AD28" s="93"/>
    </row>
    <row r="29" spans="1:34" ht="12" customHeight="1" x14ac:dyDescent="0.25">
      <c r="B29" s="2" t="s">
        <v>27</v>
      </c>
      <c r="C29" s="52">
        <v>751945.03</v>
      </c>
      <c r="D29" s="52">
        <v>698959</v>
      </c>
      <c r="E29" s="52">
        <f>'[1]OC data'!L137</f>
        <v>703566.66</v>
      </c>
      <c r="F29" s="52">
        <v>1087785</v>
      </c>
      <c r="G29" s="99">
        <v>1168625</v>
      </c>
      <c r="H29" s="100">
        <v>1350000</v>
      </c>
      <c r="I29" s="101">
        <v>1333533</v>
      </c>
      <c r="J29" s="44">
        <f>I29/$I$73</f>
        <v>8.4156816438781173E-2</v>
      </c>
      <c r="K29" s="101">
        <v>1110410</v>
      </c>
      <c r="L29" s="102">
        <f>1200000</f>
        <v>1200000</v>
      </c>
      <c r="M29" s="101">
        <v>1125000</v>
      </c>
      <c r="N29" s="56">
        <f>-L29+M29</f>
        <v>-75000</v>
      </c>
      <c r="O29" s="50">
        <f t="shared" si="9"/>
        <v>-6.25E-2</v>
      </c>
      <c r="P29" s="103">
        <f>1200000-75000</f>
        <v>1125000</v>
      </c>
      <c r="Q29" s="99">
        <v>1200000</v>
      </c>
      <c r="R29" s="102">
        <v>1200000</v>
      </c>
      <c r="S29" s="101">
        <v>804186</v>
      </c>
      <c r="T29" s="101">
        <v>700000</v>
      </c>
      <c r="U29" s="101">
        <v>2194422.5</v>
      </c>
      <c r="V29" s="56">
        <f>-R29+U29</f>
        <v>994422.5</v>
      </c>
      <c r="W29" s="126">
        <f t="shared" si="10"/>
        <v>0.82868541666666662</v>
      </c>
      <c r="X29" s="391">
        <v>2064040</v>
      </c>
      <c r="Y29" s="392">
        <f>+T29</f>
        <v>700000</v>
      </c>
      <c r="Z29" s="101">
        <f t="shared" ref="Z29" si="11">+Y29</f>
        <v>700000</v>
      </c>
      <c r="AA29" s="101">
        <f>+Y29</f>
        <v>700000</v>
      </c>
      <c r="AB29" s="277">
        <f>+Z29</f>
        <v>700000</v>
      </c>
      <c r="AC29" s="191"/>
      <c r="AD29" s="64"/>
    </row>
    <row r="30" spans="1:34" ht="12" customHeight="1" x14ac:dyDescent="0.25">
      <c r="B30" s="2" t="str">
        <f>+B17</f>
        <v>Contributed Revenue</v>
      </c>
      <c r="C30" s="52"/>
      <c r="D30" s="52"/>
      <c r="E30" s="52"/>
      <c r="F30" s="52"/>
      <c r="G30" s="99"/>
      <c r="H30" s="101"/>
      <c r="I30" s="101">
        <v>0</v>
      </c>
      <c r="J30" s="333"/>
      <c r="K30" s="101">
        <v>205003</v>
      </c>
      <c r="L30" s="334"/>
      <c r="M30" s="327"/>
      <c r="N30" s="328"/>
      <c r="O30" s="331"/>
      <c r="P30" s="335"/>
      <c r="Q30" s="336"/>
      <c r="R30" s="334"/>
      <c r="S30" s="101">
        <v>52500</v>
      </c>
      <c r="T30" s="101">
        <v>25000</v>
      </c>
      <c r="U30" s="101">
        <v>2500000</v>
      </c>
      <c r="V30" s="56"/>
      <c r="W30" s="126"/>
      <c r="X30" s="376">
        <v>3000000</v>
      </c>
      <c r="Y30" s="380">
        <v>3500000</v>
      </c>
      <c r="Z30" s="54">
        <v>5000000</v>
      </c>
      <c r="AA30" s="54">
        <v>6000000</v>
      </c>
      <c r="AB30" s="270">
        <v>6500000</v>
      </c>
      <c r="AC30" s="32" t="s">
        <v>3</v>
      </c>
    </row>
    <row r="31" spans="1:34" ht="12" customHeight="1" x14ac:dyDescent="0.25">
      <c r="B31" s="2" t="s">
        <v>151</v>
      </c>
      <c r="C31" s="52"/>
      <c r="D31" s="52"/>
      <c r="E31" s="52"/>
      <c r="F31" s="52"/>
      <c r="G31" s="99"/>
      <c r="H31" s="101"/>
      <c r="I31" s="101"/>
      <c r="J31" s="44"/>
      <c r="K31" s="101"/>
      <c r="L31" s="102"/>
      <c r="M31" s="101"/>
      <c r="N31" s="54"/>
      <c r="O31" s="337"/>
      <c r="P31" s="103"/>
      <c r="Q31" s="99"/>
      <c r="R31" s="102"/>
      <c r="S31" s="101"/>
      <c r="T31" s="101"/>
      <c r="U31" s="101"/>
      <c r="V31" s="56"/>
      <c r="W31" s="126"/>
      <c r="X31" s="376">
        <v>-34370.084999999963</v>
      </c>
      <c r="Y31" s="380">
        <v>3084.3673499999568</v>
      </c>
      <c r="Z31" s="54">
        <v>44451.698011499946</v>
      </c>
      <c r="AA31" s="54">
        <v>90092.215808534995</v>
      </c>
      <c r="AB31" s="270">
        <v>140398.79345706315</v>
      </c>
      <c r="AC31" s="32"/>
    </row>
    <row r="32" spans="1:34" ht="12" customHeight="1" x14ac:dyDescent="0.25">
      <c r="B32" s="2" t="s">
        <v>34</v>
      </c>
      <c r="C32" s="65">
        <v>565188.27</v>
      </c>
      <c r="D32" s="65">
        <v>685373</v>
      </c>
      <c r="E32" s="65">
        <f>[1]OTHER!H64</f>
        <v>594720.68000000005</v>
      </c>
      <c r="F32" s="65">
        <f>+'[1]Other Income'!B33</f>
        <v>569870</v>
      </c>
      <c r="G32" s="106">
        <v>564475</v>
      </c>
      <c r="H32" s="106">
        <v>569190</v>
      </c>
      <c r="I32" s="106">
        <v>611335</v>
      </c>
      <c r="J32" s="107">
        <f>I32/$I$73</f>
        <v>3.8580228144037151E-2</v>
      </c>
      <c r="K32" s="106">
        <f>948062+1-K30</f>
        <v>743060</v>
      </c>
      <c r="L32" s="108">
        <v>846888</v>
      </c>
      <c r="M32" s="106">
        <v>920000</v>
      </c>
      <c r="N32" s="68">
        <f>-L32+M32</f>
        <v>73112</v>
      </c>
      <c r="O32" s="69">
        <f t="shared" ref="O32" si="12">+N32/L32</f>
        <v>8.6330187698963737E-2</v>
      </c>
      <c r="P32" s="109">
        <f>846888-71888+79361+65639</f>
        <v>920000</v>
      </c>
      <c r="Q32" s="106">
        <v>607395</v>
      </c>
      <c r="R32" s="108">
        <f>616043</f>
        <v>616043</v>
      </c>
      <c r="S32" s="106">
        <f>565039.76+1-S30</f>
        <v>512540.76</v>
      </c>
      <c r="T32" s="106">
        <f>467330-T30</f>
        <v>442330</v>
      </c>
      <c r="U32" s="106">
        <f>475047+1</f>
        <v>475048</v>
      </c>
      <c r="V32" s="68">
        <f>-R32+U32</f>
        <v>-140995</v>
      </c>
      <c r="W32" s="253">
        <f t="shared" ref="W32" si="13">+V32/R32</f>
        <v>-0.22887201055770456</v>
      </c>
      <c r="X32" s="381">
        <f>356254</f>
        <v>356254</v>
      </c>
      <c r="Y32" s="393">
        <f>X32</f>
        <v>356254</v>
      </c>
      <c r="Z32" s="106">
        <f>X32</f>
        <v>356254</v>
      </c>
      <c r="AA32" s="106">
        <f>X32</f>
        <v>356254</v>
      </c>
      <c r="AB32" s="278">
        <f>X32</f>
        <v>356254</v>
      </c>
      <c r="AC32" s="32"/>
    </row>
    <row r="33" spans="2:33" ht="12" customHeight="1" x14ac:dyDescent="0.25">
      <c r="C33" s="54"/>
      <c r="D33" s="54"/>
      <c r="E33" s="54"/>
      <c r="F33" s="54"/>
      <c r="G33" s="101"/>
      <c r="H33" s="101"/>
      <c r="I33" s="101"/>
      <c r="J33" s="44"/>
      <c r="K33" s="101"/>
      <c r="L33" s="102"/>
      <c r="M33" s="101"/>
      <c r="N33" s="110"/>
      <c r="O33" s="111"/>
      <c r="P33" s="103"/>
      <c r="Q33" s="101"/>
      <c r="R33" s="102"/>
      <c r="S33" s="101"/>
      <c r="T33" s="101"/>
      <c r="U33" s="101"/>
      <c r="V33" s="110"/>
      <c r="W33" s="110"/>
      <c r="X33" s="391"/>
      <c r="Y33" s="392"/>
      <c r="Z33" s="101"/>
      <c r="AA33" s="101"/>
      <c r="AB33" s="277"/>
      <c r="AC33" s="32"/>
      <c r="AD33" s="64"/>
    </row>
    <row r="34" spans="2:33" ht="12" customHeight="1" x14ac:dyDescent="0.25">
      <c r="B34" s="77" t="s">
        <v>35</v>
      </c>
      <c r="C34" s="112">
        <f>SUM(C26:C33)</f>
        <v>8038879.1699999999</v>
      </c>
      <c r="D34" s="112">
        <f>SUM(D26:D33)</f>
        <v>8981510</v>
      </c>
      <c r="E34" s="112">
        <f>SUM(E26:E33)+1</f>
        <v>9159958.3790909089</v>
      </c>
      <c r="F34" s="112">
        <f>SUM(F26:F33)+1</f>
        <v>8852147.9090909101</v>
      </c>
      <c r="G34" s="113">
        <f>SUM(G26:G33)</f>
        <v>8043270.9090909092</v>
      </c>
      <c r="H34" s="112">
        <f>SUM(H26:H32)</f>
        <v>9638099.9090909101</v>
      </c>
      <c r="I34" s="113">
        <f>SUM(I26:I33)</f>
        <v>8372809.9090909092</v>
      </c>
      <c r="J34" s="114">
        <f>I34/$I$73</f>
        <v>0.52839264314881729</v>
      </c>
      <c r="K34" s="113">
        <f>SUM(K26:K33)</f>
        <v>7883047</v>
      </c>
      <c r="L34" s="115">
        <f>SUM(L26:L33)</f>
        <v>8666639</v>
      </c>
      <c r="M34" s="113">
        <f>SUM(M26:M33)</f>
        <v>8393245</v>
      </c>
      <c r="N34" s="116">
        <f>SUM(N26:N32)</f>
        <v>-273394</v>
      </c>
      <c r="O34" s="117">
        <f>+N34/L34</f>
        <v>-3.1545562241602543E-2</v>
      </c>
      <c r="P34" s="118">
        <f>SUM(P26:P33)</f>
        <v>8393245</v>
      </c>
      <c r="Q34" s="113">
        <v>9317441.5</v>
      </c>
      <c r="R34" s="115">
        <f>SUM(R26:R32)</f>
        <v>8039134</v>
      </c>
      <c r="S34" s="113">
        <f>SUM(S26:S33)</f>
        <v>6928065.3399999999</v>
      </c>
      <c r="T34" s="113">
        <f>SUM(T26:T33)</f>
        <v>4418038.9149999972</v>
      </c>
      <c r="U34" s="113">
        <f>SUM(U26:U33)</f>
        <v>10655905.223159585</v>
      </c>
      <c r="V34" s="116">
        <f>SUM(V26:V32)</f>
        <v>116771.22315958398</v>
      </c>
      <c r="W34" s="295">
        <f>+V34/R34</f>
        <v>1.4525348521318836E-2</v>
      </c>
      <c r="X34" s="394">
        <f>SUM(X26:X33)</f>
        <v>10314315.927491516</v>
      </c>
      <c r="Y34" s="395">
        <f>SUM(Y26:Y33)</f>
        <v>10583570.932075996</v>
      </c>
      <c r="Z34" s="113">
        <f>SUM(Z26:Z33)</f>
        <v>12038754.072976023</v>
      </c>
      <c r="AA34" s="113">
        <f>SUM(AA26:AA33)</f>
        <v>13356234.434248278</v>
      </c>
      <c r="AB34" s="279">
        <f>SUM(AB26:AB33)</f>
        <v>14551084.374127449</v>
      </c>
      <c r="AC34" s="32"/>
      <c r="AD34" s="93"/>
    </row>
    <row r="35" spans="2:33" ht="13.35" hidden="1" customHeight="1" x14ac:dyDescent="0.25">
      <c r="B35" s="119" t="s">
        <v>36</v>
      </c>
      <c r="C35" s="52"/>
      <c r="D35" s="52">
        <f>D34/C34-1</f>
        <v>0.11725898723764505</v>
      </c>
      <c r="E35" s="52">
        <f>E34/D34-1</f>
        <v>1.9868416234119834E-2</v>
      </c>
      <c r="F35" s="52">
        <f>F34/E34-1</f>
        <v>-3.36039157888125E-2</v>
      </c>
      <c r="G35" s="101" t="e">
        <f>G34/#REF!-1</f>
        <v>#REF!</v>
      </c>
      <c r="H35" s="101"/>
      <c r="I35" s="120">
        <f>I34/G34-1</f>
        <v>4.09707696936501E-2</v>
      </c>
      <c r="J35" s="121"/>
      <c r="K35" s="120"/>
      <c r="L35" s="102" t="e">
        <f>L34/#REF!-1</f>
        <v>#REF!</v>
      </c>
      <c r="M35" s="120"/>
      <c r="N35" s="110"/>
      <c r="O35" s="111"/>
      <c r="P35" s="103" t="e">
        <f>P34/#REF!-1</f>
        <v>#REF!</v>
      </c>
      <c r="Q35" s="99">
        <v>3.045676518907614E-2</v>
      </c>
      <c r="R35" s="102"/>
      <c r="S35" s="101"/>
      <c r="T35" s="101" t="e">
        <f>T34/#REF!-1</f>
        <v>#REF!</v>
      </c>
      <c r="U35" s="101" t="e">
        <f>U34/#REF!-1</f>
        <v>#REF!</v>
      </c>
      <c r="V35" s="110"/>
      <c r="W35" s="110"/>
      <c r="X35" s="396" t="e">
        <f>X34/#REF!-1</f>
        <v>#REF!</v>
      </c>
      <c r="Y35" s="397" t="e">
        <f>Y34/#REF!-1</f>
        <v>#REF!</v>
      </c>
      <c r="Z35" s="120" t="e">
        <f>Z34/#REF!-1</f>
        <v>#REF!</v>
      </c>
      <c r="AA35" s="120">
        <f>AA34/R34-1</f>
        <v>0.66140214036092426</v>
      </c>
      <c r="AB35" s="280">
        <f>AB34/U34-1</f>
        <v>0.36554183519782701</v>
      </c>
      <c r="AC35" s="32"/>
    </row>
    <row r="36" spans="2:33" ht="13.35" hidden="1" customHeight="1" x14ac:dyDescent="0.25">
      <c r="C36" s="52"/>
      <c r="D36" s="52"/>
      <c r="E36" s="52"/>
      <c r="F36" s="52"/>
      <c r="G36" s="101"/>
      <c r="H36" s="101"/>
      <c r="I36" s="120"/>
      <c r="J36" s="121"/>
      <c r="K36" s="120"/>
      <c r="L36" s="102"/>
      <c r="M36" s="120"/>
      <c r="N36" s="110"/>
      <c r="O36" s="111"/>
      <c r="P36" s="103"/>
      <c r="Q36" s="99"/>
      <c r="R36" s="102"/>
      <c r="S36" s="101"/>
      <c r="T36" s="101"/>
      <c r="U36" s="101"/>
      <c r="V36" s="110"/>
      <c r="W36" s="110"/>
      <c r="X36" s="396"/>
      <c r="Y36" s="397"/>
      <c r="Z36" s="120"/>
      <c r="AA36" s="120"/>
      <c r="AB36" s="280"/>
      <c r="AC36" s="32"/>
    </row>
    <row r="37" spans="2:33" ht="13.35" hidden="1" customHeight="1" x14ac:dyDescent="0.25">
      <c r="B37" s="2" t="s">
        <v>37</v>
      </c>
      <c r="C37" s="52">
        <v>2145821.02</v>
      </c>
      <c r="D37" s="52">
        <v>2162565.1399999997</v>
      </c>
      <c r="E37" s="52">
        <f>'[1]OC data'!E29</f>
        <v>2097865.7400000002</v>
      </c>
      <c r="F37" s="52" t="e">
        <f>'[1]OC data'!F29</f>
        <v>#REF!</v>
      </c>
      <c r="G37" s="101" t="e">
        <f>#REF!</f>
        <v>#REF!</v>
      </c>
      <c r="H37" s="101"/>
      <c r="I37" s="120" t="e">
        <f>#REF!</f>
        <v>#REF!</v>
      </c>
      <c r="J37" s="121"/>
      <c r="K37" s="120"/>
      <c r="L37" s="102" t="e">
        <f>#REF!</f>
        <v>#REF!</v>
      </c>
      <c r="M37" s="120"/>
      <c r="N37" s="110"/>
      <c r="O37" s="111"/>
      <c r="P37" s="103" t="e">
        <f>#REF!</f>
        <v>#REF!</v>
      </c>
      <c r="Q37" s="99" t="e">
        <v>#REF!</v>
      </c>
      <c r="R37" s="102"/>
      <c r="S37" s="101"/>
      <c r="T37" s="101" t="e">
        <f>#REF!</f>
        <v>#REF!</v>
      </c>
      <c r="U37" s="101" t="e">
        <f>#REF!</f>
        <v>#REF!</v>
      </c>
      <c r="V37" s="110"/>
      <c r="W37" s="110"/>
      <c r="X37" s="396" t="e">
        <f>#REF!</f>
        <v>#REF!</v>
      </c>
      <c r="Y37" s="397" t="e">
        <f>#REF!</f>
        <v>#REF!</v>
      </c>
      <c r="Z37" s="120" t="e">
        <f>#REF!</f>
        <v>#REF!</v>
      </c>
      <c r="AA37" s="120" t="e">
        <f>#REF!</f>
        <v>#REF!</v>
      </c>
      <c r="AB37" s="280" t="e">
        <f>#REF!</f>
        <v>#REF!</v>
      </c>
      <c r="AC37" s="32"/>
    </row>
    <row r="38" spans="2:33" ht="13.35" hidden="1" customHeight="1" x14ac:dyDescent="0.25">
      <c r="B38" s="2" t="s">
        <v>38</v>
      </c>
      <c r="C38" s="52">
        <v>2029080.0199999986</v>
      </c>
      <c r="D38" s="52">
        <v>1793937.2150000003</v>
      </c>
      <c r="E38" s="52">
        <f>'[1]OC data'!L44</f>
        <v>1737821.879999999</v>
      </c>
      <c r="F38" s="52" t="e">
        <f>'[1]OC data'!M44</f>
        <v>#REF!</v>
      </c>
      <c r="G38" s="101" t="e">
        <f>#REF!</f>
        <v>#REF!</v>
      </c>
      <c r="H38" s="101"/>
      <c r="I38" s="120" t="e">
        <f>#REF!</f>
        <v>#REF!</v>
      </c>
      <c r="J38" s="121"/>
      <c r="K38" s="120"/>
      <c r="L38" s="102" t="e">
        <f>#REF!</f>
        <v>#REF!</v>
      </c>
      <c r="M38" s="120"/>
      <c r="N38" s="110"/>
      <c r="O38" s="111"/>
      <c r="P38" s="103" t="e">
        <f>#REF!</f>
        <v>#REF!</v>
      </c>
      <c r="Q38" s="99" t="e">
        <v>#REF!</v>
      </c>
      <c r="R38" s="102"/>
      <c r="S38" s="101"/>
      <c r="T38" s="101" t="e">
        <f>#REF!</f>
        <v>#REF!</v>
      </c>
      <c r="U38" s="101" t="e">
        <f>#REF!</f>
        <v>#REF!</v>
      </c>
      <c r="V38" s="110"/>
      <c r="W38" s="110"/>
      <c r="X38" s="396" t="e">
        <f>#REF!</f>
        <v>#REF!</v>
      </c>
      <c r="Y38" s="397" t="e">
        <f>#REF!</f>
        <v>#REF!</v>
      </c>
      <c r="Z38" s="120" t="e">
        <f>#REF!</f>
        <v>#REF!</v>
      </c>
      <c r="AA38" s="120" t="e">
        <f>#REF!</f>
        <v>#REF!</v>
      </c>
      <c r="AB38" s="280" t="e">
        <f>#REF!</f>
        <v>#REF!</v>
      </c>
      <c r="AC38" s="32"/>
    </row>
    <row r="39" spans="2:33" ht="13.35" hidden="1" customHeight="1" x14ac:dyDescent="0.25">
      <c r="B39" s="2" t="s">
        <v>39</v>
      </c>
      <c r="C39" s="52">
        <v>2236858.4700000002</v>
      </c>
      <c r="D39" s="52">
        <v>2265490.2250000001</v>
      </c>
      <c r="E39" s="52">
        <f>'[1]OC data'!L18</f>
        <v>2229687.3200000003</v>
      </c>
      <c r="F39" s="52" t="e">
        <f>'[1]OC data'!M18</f>
        <v>#REF!</v>
      </c>
      <c r="G39" s="101" t="e">
        <f>#REF!</f>
        <v>#REF!</v>
      </c>
      <c r="H39" s="101"/>
      <c r="I39" s="120" t="e">
        <f>#REF!</f>
        <v>#REF!</v>
      </c>
      <c r="J39" s="121"/>
      <c r="K39" s="120"/>
      <c r="L39" s="102" t="e">
        <f>#REF!</f>
        <v>#REF!</v>
      </c>
      <c r="M39" s="120"/>
      <c r="N39" s="110"/>
      <c r="O39" s="111"/>
      <c r="P39" s="103" t="e">
        <f>#REF!</f>
        <v>#REF!</v>
      </c>
      <c r="Q39" s="99" t="e">
        <v>#REF!</v>
      </c>
      <c r="R39" s="102"/>
      <c r="S39" s="101"/>
      <c r="T39" s="101" t="e">
        <f>#REF!</f>
        <v>#REF!</v>
      </c>
      <c r="U39" s="101" t="e">
        <f>#REF!</f>
        <v>#REF!</v>
      </c>
      <c r="V39" s="110"/>
      <c r="W39" s="110"/>
      <c r="X39" s="396" t="e">
        <f>#REF!</f>
        <v>#REF!</v>
      </c>
      <c r="Y39" s="397" t="e">
        <f>#REF!</f>
        <v>#REF!</v>
      </c>
      <c r="Z39" s="120" t="e">
        <f>#REF!</f>
        <v>#REF!</v>
      </c>
      <c r="AA39" s="120" t="e">
        <f>#REF!</f>
        <v>#REF!</v>
      </c>
      <c r="AB39" s="280" t="e">
        <f>#REF!</f>
        <v>#REF!</v>
      </c>
      <c r="AC39" s="32"/>
    </row>
    <row r="40" spans="2:33" ht="13.35" hidden="1" customHeight="1" x14ac:dyDescent="0.25">
      <c r="B40" s="2" t="s">
        <v>40</v>
      </c>
      <c r="C40" s="52">
        <v>2762524.09</v>
      </c>
      <c r="D40" s="52">
        <v>2788770.4849999999</v>
      </c>
      <c r="E40" s="52">
        <f>'[1]OC data'!L32</f>
        <v>2860135.3</v>
      </c>
      <c r="F40" s="52" t="e">
        <f>'[1]OC data'!M32</f>
        <v>#REF!</v>
      </c>
      <c r="G40" s="101" t="e">
        <f>#REF!</f>
        <v>#REF!</v>
      </c>
      <c r="H40" s="101"/>
      <c r="I40" s="120" t="e">
        <f>#REF!</f>
        <v>#REF!</v>
      </c>
      <c r="J40" s="121"/>
      <c r="K40" s="120"/>
      <c r="L40" s="102" t="e">
        <f>#REF!</f>
        <v>#REF!</v>
      </c>
      <c r="M40" s="120"/>
      <c r="N40" s="110"/>
      <c r="O40" s="111"/>
      <c r="P40" s="103" t="e">
        <f>#REF!</f>
        <v>#REF!</v>
      </c>
      <c r="Q40" s="99" t="e">
        <v>#REF!</v>
      </c>
      <c r="R40" s="102"/>
      <c r="S40" s="101"/>
      <c r="T40" s="101" t="e">
        <f>#REF!</f>
        <v>#REF!</v>
      </c>
      <c r="U40" s="101" t="e">
        <f>#REF!</f>
        <v>#REF!</v>
      </c>
      <c r="V40" s="110"/>
      <c r="W40" s="110"/>
      <c r="X40" s="396" t="e">
        <f>#REF!</f>
        <v>#REF!</v>
      </c>
      <c r="Y40" s="397" t="e">
        <f>#REF!</f>
        <v>#REF!</v>
      </c>
      <c r="Z40" s="120" t="e">
        <f>#REF!</f>
        <v>#REF!</v>
      </c>
      <c r="AA40" s="120" t="e">
        <f>#REF!</f>
        <v>#REF!</v>
      </c>
      <c r="AB40" s="280" t="e">
        <f>#REF!</f>
        <v>#REF!</v>
      </c>
      <c r="AC40" s="32"/>
    </row>
    <row r="41" spans="2:33" ht="13.35" hidden="1" customHeight="1" x14ac:dyDescent="0.25">
      <c r="B41" s="2" t="s">
        <v>41</v>
      </c>
      <c r="C41" s="52">
        <v>2441153.42</v>
      </c>
      <c r="D41" s="52">
        <v>2477397.73</v>
      </c>
      <c r="E41" s="52">
        <f>'[1]OC data'!E59</f>
        <v>2191999.3499999996</v>
      </c>
      <c r="F41" s="52" t="e">
        <f>'[1]OC data'!F59</f>
        <v>#REF!</v>
      </c>
      <c r="G41" s="101" t="e">
        <f>#REF!</f>
        <v>#REF!</v>
      </c>
      <c r="H41" s="101"/>
      <c r="I41" s="120" t="e">
        <f>#REF!</f>
        <v>#REF!</v>
      </c>
      <c r="J41" s="121"/>
      <c r="K41" s="120"/>
      <c r="L41" s="102" t="e">
        <f>#REF!</f>
        <v>#REF!</v>
      </c>
      <c r="M41" s="120"/>
      <c r="N41" s="110"/>
      <c r="O41" s="111"/>
      <c r="P41" s="103" t="e">
        <f>#REF!</f>
        <v>#REF!</v>
      </c>
      <c r="Q41" s="99" t="e">
        <v>#REF!</v>
      </c>
      <c r="R41" s="102"/>
      <c r="S41" s="101"/>
      <c r="T41" s="101" t="e">
        <f>#REF!</f>
        <v>#REF!</v>
      </c>
      <c r="U41" s="101" t="e">
        <f>#REF!</f>
        <v>#REF!</v>
      </c>
      <c r="V41" s="110"/>
      <c r="W41" s="110"/>
      <c r="X41" s="396" t="e">
        <f>#REF!</f>
        <v>#REF!</v>
      </c>
      <c r="Y41" s="397" t="e">
        <f>#REF!</f>
        <v>#REF!</v>
      </c>
      <c r="Z41" s="120" t="e">
        <f>#REF!</f>
        <v>#REF!</v>
      </c>
      <c r="AA41" s="120" t="e">
        <f>#REF!</f>
        <v>#REF!</v>
      </c>
      <c r="AB41" s="280" t="e">
        <f>#REF!</f>
        <v>#REF!</v>
      </c>
      <c r="AC41" s="32"/>
    </row>
    <row r="42" spans="2:33" ht="13.35" hidden="1" customHeight="1" x14ac:dyDescent="0.25">
      <c r="B42" s="2" t="s">
        <v>42</v>
      </c>
      <c r="C42" s="52">
        <v>1396667.2700000003</v>
      </c>
      <c r="D42" s="52">
        <v>1535611.5649999999</v>
      </c>
      <c r="E42" s="52">
        <f>'[1]OC data'!E67+'[1]OC data'!E68+'[1]OC data'!E69</f>
        <v>1415245.7699999996</v>
      </c>
      <c r="F42" s="52" t="e">
        <f>'[1]OC data'!F67+'[1]OC data'!F68+'[1]OC data'!F69</f>
        <v>#REF!</v>
      </c>
      <c r="G42" s="101" t="e">
        <f>#REF!</f>
        <v>#REF!</v>
      </c>
      <c r="H42" s="101"/>
      <c r="I42" s="120" t="e">
        <f>#REF!</f>
        <v>#REF!</v>
      </c>
      <c r="J42" s="121"/>
      <c r="K42" s="120"/>
      <c r="L42" s="102" t="e">
        <f>#REF!</f>
        <v>#REF!</v>
      </c>
      <c r="M42" s="120"/>
      <c r="N42" s="110"/>
      <c r="O42" s="111"/>
      <c r="P42" s="103" t="e">
        <f>#REF!</f>
        <v>#REF!</v>
      </c>
      <c r="Q42" s="99" t="e">
        <v>#REF!</v>
      </c>
      <c r="R42" s="102"/>
      <c r="S42" s="101"/>
      <c r="T42" s="101" t="e">
        <f>#REF!</f>
        <v>#REF!</v>
      </c>
      <c r="U42" s="101" t="e">
        <f>#REF!</f>
        <v>#REF!</v>
      </c>
      <c r="V42" s="110"/>
      <c r="W42" s="110"/>
      <c r="X42" s="396" t="e">
        <f>#REF!</f>
        <v>#REF!</v>
      </c>
      <c r="Y42" s="397" t="e">
        <f>#REF!</f>
        <v>#REF!</v>
      </c>
      <c r="Z42" s="120" t="e">
        <f>#REF!</f>
        <v>#REF!</v>
      </c>
      <c r="AA42" s="120" t="e">
        <f>#REF!</f>
        <v>#REF!</v>
      </c>
      <c r="AB42" s="280" t="e">
        <f>#REF!</f>
        <v>#REF!</v>
      </c>
      <c r="AC42" s="32"/>
    </row>
    <row r="43" spans="2:33" ht="13.35" hidden="1" customHeight="1" x14ac:dyDescent="0.25">
      <c r="B43" s="2" t="s">
        <v>43</v>
      </c>
      <c r="C43" s="52">
        <v>385846.55000000005</v>
      </c>
      <c r="D43" s="52">
        <v>336699.02</v>
      </c>
      <c r="E43" s="52">
        <f>'[1]OC data'!L62</f>
        <v>321497.58</v>
      </c>
      <c r="F43" s="52" t="e">
        <f>'[1]OC data'!M62</f>
        <v>#REF!</v>
      </c>
      <c r="G43" s="101" t="e">
        <f>#REF!</f>
        <v>#REF!</v>
      </c>
      <c r="H43" s="101"/>
      <c r="I43" s="120" t="e">
        <f>#REF!</f>
        <v>#REF!</v>
      </c>
      <c r="J43" s="121"/>
      <c r="K43" s="120"/>
      <c r="L43" s="102" t="e">
        <f>#REF!</f>
        <v>#REF!</v>
      </c>
      <c r="M43" s="120"/>
      <c r="N43" s="110"/>
      <c r="O43" s="111"/>
      <c r="P43" s="103" t="e">
        <f>#REF!</f>
        <v>#REF!</v>
      </c>
      <c r="Q43" s="99" t="e">
        <v>#REF!</v>
      </c>
      <c r="R43" s="102"/>
      <c r="S43" s="101"/>
      <c r="T43" s="101" t="e">
        <f>#REF!</f>
        <v>#REF!</v>
      </c>
      <c r="U43" s="101" t="e">
        <f>#REF!</f>
        <v>#REF!</v>
      </c>
      <c r="V43" s="110"/>
      <c r="W43" s="110"/>
      <c r="X43" s="396" t="e">
        <f>#REF!</f>
        <v>#REF!</v>
      </c>
      <c r="Y43" s="397" t="e">
        <f>#REF!</f>
        <v>#REF!</v>
      </c>
      <c r="Z43" s="120" t="e">
        <f>#REF!</f>
        <v>#REF!</v>
      </c>
      <c r="AA43" s="120" t="e">
        <f>#REF!</f>
        <v>#REF!</v>
      </c>
      <c r="AB43" s="280" t="e">
        <f>#REF!</f>
        <v>#REF!</v>
      </c>
      <c r="AC43" s="32"/>
    </row>
    <row r="44" spans="2:33" ht="12" customHeight="1" x14ac:dyDescent="0.25">
      <c r="C44" s="52"/>
      <c r="D44" s="52"/>
      <c r="E44" s="52"/>
      <c r="F44" s="52"/>
      <c r="G44" s="101"/>
      <c r="H44" s="101"/>
      <c r="I44" s="101"/>
      <c r="J44" s="44"/>
      <c r="K44" s="101"/>
      <c r="L44" s="102"/>
      <c r="M44" s="101"/>
      <c r="N44" s="110"/>
      <c r="O44" s="111"/>
      <c r="P44" s="103"/>
      <c r="Q44" s="99"/>
      <c r="R44" s="102"/>
      <c r="S44" s="101"/>
      <c r="T44" s="101"/>
      <c r="U44" s="101"/>
      <c r="V44" s="110"/>
      <c r="W44" s="110"/>
      <c r="X44" s="391"/>
      <c r="Y44" s="392"/>
      <c r="Z44" s="101"/>
      <c r="AA44" s="101"/>
      <c r="AB44" s="277"/>
      <c r="AC44" s="32"/>
    </row>
    <row r="45" spans="2:33" ht="12" customHeight="1" x14ac:dyDescent="0.25">
      <c r="C45" s="122"/>
      <c r="D45" s="123"/>
      <c r="E45" s="123"/>
      <c r="F45" s="123"/>
      <c r="G45" s="123"/>
      <c r="H45" s="123"/>
      <c r="I45" s="123"/>
      <c r="J45" s="123"/>
      <c r="K45" s="123"/>
      <c r="L45" s="125"/>
      <c r="M45" s="124"/>
      <c r="N45" s="126"/>
      <c r="O45" s="50"/>
      <c r="P45" s="127"/>
      <c r="Q45" s="128"/>
      <c r="R45" s="129"/>
      <c r="S45" s="123"/>
      <c r="T45" s="123"/>
      <c r="U45" s="123"/>
      <c r="V45" s="126"/>
      <c r="W45" s="126"/>
      <c r="X45" s="398"/>
      <c r="Y45" s="399"/>
      <c r="Z45" s="130"/>
      <c r="AA45" s="130"/>
      <c r="AB45" s="281"/>
      <c r="AC45" s="32"/>
    </row>
    <row r="46" spans="2:33" ht="12" customHeight="1" x14ac:dyDescent="0.25">
      <c r="B46" s="2" t="s">
        <v>44</v>
      </c>
      <c r="C46" s="52">
        <v>3175280</v>
      </c>
      <c r="D46" s="52">
        <v>3281959</v>
      </c>
      <c r="E46" s="52">
        <v>3281959</v>
      </c>
      <c r="F46" s="52">
        <v>3211500</v>
      </c>
      <c r="G46" s="52">
        <v>3031812</v>
      </c>
      <c r="H46" s="101">
        <f>$H$23*H10</f>
        <v>3404074.608</v>
      </c>
      <c r="I46" s="101">
        <v>2909301</v>
      </c>
      <c r="J46" s="44">
        <f>I46/$I$73</f>
        <v>0.18360063847101085</v>
      </c>
      <c r="K46" s="101">
        <v>3208395</v>
      </c>
      <c r="L46" s="55">
        <v>3154944</v>
      </c>
      <c r="M46" s="101">
        <v>3202924</v>
      </c>
      <c r="N46" s="56">
        <f>-L46+M46</f>
        <v>47980</v>
      </c>
      <c r="O46" s="50">
        <f t="shared" ref="O46:O53" si="14">+N46/L46</f>
        <v>1.5207876906848427E-2</v>
      </c>
      <c r="P46" s="57">
        <f>3154944+47980</f>
        <v>3202924</v>
      </c>
      <c r="Q46" s="130">
        <v>3400889.7120000003</v>
      </c>
      <c r="R46" s="129">
        <v>3059965</v>
      </c>
      <c r="S46" s="130">
        <v>2868183.53</v>
      </c>
      <c r="T46" s="130">
        <v>2517565.645</v>
      </c>
      <c r="U46" s="130">
        <v>2658645.5099999998</v>
      </c>
      <c r="V46" s="56">
        <f>-R46+U46</f>
        <v>-401319.49000000022</v>
      </c>
      <c r="W46" s="126">
        <f t="shared" ref="W46:W53" si="15">+V46/R46</f>
        <v>-0.13115166023140795</v>
      </c>
      <c r="X46" s="391">
        <v>2458844</v>
      </c>
      <c r="Y46" s="392">
        <v>2523537.6645999998</v>
      </c>
      <c r="Z46" s="101">
        <v>2565259.1785280006</v>
      </c>
      <c r="AA46" s="101">
        <v>2609225.48809192</v>
      </c>
      <c r="AB46" s="277">
        <v>2658169.4402193837</v>
      </c>
      <c r="AC46" s="32"/>
      <c r="AD46" s="64"/>
      <c r="AE46" s="99"/>
      <c r="AF46" s="99"/>
      <c r="AG46" s="99"/>
    </row>
    <row r="47" spans="2:33" ht="12" customHeight="1" x14ac:dyDescent="0.25">
      <c r="B47" s="2" t="s">
        <v>45</v>
      </c>
      <c r="C47" s="52">
        <v>1980089</v>
      </c>
      <c r="D47" s="52">
        <v>2260421</v>
      </c>
      <c r="E47" s="52">
        <v>2005880</v>
      </c>
      <c r="F47" s="52">
        <v>2363698</v>
      </c>
      <c r="G47" s="52">
        <v>2162644</v>
      </c>
      <c r="H47" s="101">
        <f>$H$23*H11</f>
        <v>2561842.8000000003</v>
      </c>
      <c r="I47" s="101">
        <v>2482732</v>
      </c>
      <c r="J47" s="44">
        <f>I47/$I$73</f>
        <v>0.15668065296523451</v>
      </c>
      <c r="K47" s="101">
        <v>2344365</v>
      </c>
      <c r="L47" s="55">
        <v>2467047</v>
      </c>
      <c r="M47" s="101">
        <v>2369577</v>
      </c>
      <c r="N47" s="56">
        <f>-L47+M47</f>
        <v>-97470</v>
      </c>
      <c r="O47" s="50">
        <f t="shared" si="14"/>
        <v>-3.9508773039184091E-2</v>
      </c>
      <c r="P47" s="57">
        <f>2467047-97470</f>
        <v>2369577</v>
      </c>
      <c r="Q47" s="130">
        <v>2607000</v>
      </c>
      <c r="R47" s="129">
        <v>2516068</v>
      </c>
      <c r="S47" s="130">
        <v>2503052.04</v>
      </c>
      <c r="T47" s="130">
        <v>680756</v>
      </c>
      <c r="U47" s="130">
        <v>373054</v>
      </c>
      <c r="V47" s="56">
        <f>-R47+U47</f>
        <v>-2143014</v>
      </c>
      <c r="W47" s="126">
        <f t="shared" si="15"/>
        <v>-0.85173135225280083</v>
      </c>
      <c r="X47" s="391">
        <v>2219766</v>
      </c>
      <c r="Y47" s="392">
        <v>2125421.9000000004</v>
      </c>
      <c r="Z47" s="101">
        <v>2075307.75</v>
      </c>
      <c r="AA47" s="101">
        <v>2086409.925</v>
      </c>
      <c r="AB47" s="277">
        <v>2228108.1412500003</v>
      </c>
      <c r="AC47" s="32"/>
      <c r="AD47" s="99"/>
    </row>
    <row r="48" spans="2:33" ht="12" customHeight="1" x14ac:dyDescent="0.25">
      <c r="B48" s="2" t="s">
        <v>91</v>
      </c>
      <c r="C48" s="52"/>
      <c r="D48" s="52"/>
      <c r="E48" s="52"/>
      <c r="F48" s="52"/>
      <c r="G48" s="52"/>
      <c r="H48" s="101"/>
      <c r="I48" s="101"/>
      <c r="J48" s="44"/>
      <c r="K48" s="101"/>
      <c r="L48" s="55"/>
      <c r="M48" s="101"/>
      <c r="N48" s="56"/>
      <c r="O48" s="50"/>
      <c r="P48" s="57"/>
      <c r="Q48" s="130"/>
      <c r="R48" s="129"/>
      <c r="S48" s="130"/>
      <c r="T48" s="130"/>
      <c r="U48" s="130"/>
      <c r="V48" s="56"/>
      <c r="W48" s="126"/>
      <c r="X48" s="391">
        <v>179137.08500000002</v>
      </c>
      <c r="Y48" s="392">
        <v>195259.42265000002</v>
      </c>
      <c r="Z48" s="101">
        <v>212832.77068850002</v>
      </c>
      <c r="AA48" s="101">
        <v>231987.72005046502</v>
      </c>
      <c r="AB48" s="277">
        <v>252866.61485500689</v>
      </c>
      <c r="AC48" s="32"/>
      <c r="AD48" s="99"/>
    </row>
    <row r="49" spans="1:33" ht="12" customHeight="1" x14ac:dyDescent="0.25">
      <c r="B49" s="2" t="s">
        <v>46</v>
      </c>
      <c r="C49" s="52">
        <v>1982298</v>
      </c>
      <c r="D49" s="52">
        <v>1549550</v>
      </c>
      <c r="E49" s="52">
        <f>-'[1]OC data'!L80</f>
        <v>1915658.99</v>
      </c>
      <c r="F49" s="52">
        <v>1652971</v>
      </c>
      <c r="G49" s="52">
        <v>2034562</v>
      </c>
      <c r="H49" s="101">
        <f>I49</f>
        <v>1601847</v>
      </c>
      <c r="I49" s="101">
        <v>1601847</v>
      </c>
      <c r="J49" s="44">
        <f>I49/$I$73</f>
        <v>0.10108961978594629</v>
      </c>
      <c r="K49" s="101">
        <v>2153166</v>
      </c>
      <c r="L49" s="60">
        <v>2164009</v>
      </c>
      <c r="M49" s="101">
        <v>2120988</v>
      </c>
      <c r="N49" s="56">
        <f>-L49+M49</f>
        <v>-43021</v>
      </c>
      <c r="O49" s="50">
        <f t="shared" si="14"/>
        <v>-1.9880231551717205E-2</v>
      </c>
      <c r="P49" s="61">
        <f>2164009-43021</f>
        <v>2120988</v>
      </c>
      <c r="Q49" s="128">
        <v>1581970</v>
      </c>
      <c r="R49" s="129">
        <v>1638403</v>
      </c>
      <c r="S49" s="130">
        <v>1563354.06</v>
      </c>
      <c r="T49" s="130">
        <v>2016346.2215191</v>
      </c>
      <c r="U49" s="130">
        <v>1329744.83</v>
      </c>
      <c r="V49" s="56">
        <f>-R49+U49</f>
        <v>-308658.16999999993</v>
      </c>
      <c r="W49" s="126">
        <f t="shared" si="15"/>
        <v>-0.18838965138613634</v>
      </c>
      <c r="X49" s="391">
        <v>1358310.67</v>
      </c>
      <c r="Y49" s="392">
        <f>+U49</f>
        <v>1329744.83</v>
      </c>
      <c r="Z49" s="101">
        <f>+X49</f>
        <v>1358310.67</v>
      </c>
      <c r="AA49" s="101">
        <f>+Y49</f>
        <v>1329744.83</v>
      </c>
      <c r="AB49" s="277">
        <f>+Z49</f>
        <v>1358310.67</v>
      </c>
      <c r="AC49" s="32"/>
      <c r="AD49" s="131"/>
    </row>
    <row r="50" spans="1:33" ht="12" customHeight="1" x14ac:dyDescent="0.25">
      <c r="B50" s="2" t="s">
        <v>47</v>
      </c>
      <c r="C50" s="52">
        <v>17526</v>
      </c>
      <c r="D50" s="52">
        <v>16735</v>
      </c>
      <c r="E50" s="52">
        <f>-'[1]OC data'!L99</f>
        <v>16362</v>
      </c>
      <c r="F50" s="52">
        <v>16365</v>
      </c>
      <c r="G50" s="52">
        <v>16348</v>
      </c>
      <c r="H50" s="101">
        <f>I50</f>
        <v>16832</v>
      </c>
      <c r="I50" s="101">
        <v>16832</v>
      </c>
      <c r="J50" s="44">
        <f>I50/$I$73</f>
        <v>1.0622365807951995E-3</v>
      </c>
      <c r="K50" s="101">
        <v>18853.04</v>
      </c>
      <c r="L50" s="55">
        <v>19020</v>
      </c>
      <c r="M50" s="101">
        <v>19020</v>
      </c>
      <c r="N50" s="56">
        <f>-L50+M50</f>
        <v>0</v>
      </c>
      <c r="O50" s="50">
        <f t="shared" si="14"/>
        <v>0</v>
      </c>
      <c r="P50" s="57">
        <v>19020</v>
      </c>
      <c r="Q50" s="128">
        <v>16000</v>
      </c>
      <c r="R50" s="129">
        <v>18720</v>
      </c>
      <c r="S50" s="130">
        <v>19371</v>
      </c>
      <c r="T50" s="130">
        <v>18169</v>
      </c>
      <c r="U50" s="130">
        <v>16934</v>
      </c>
      <c r="V50" s="56">
        <f>-R50+U50</f>
        <v>-1786</v>
      </c>
      <c r="W50" s="126">
        <f t="shared" si="15"/>
        <v>-9.54059829059829E-2</v>
      </c>
      <c r="X50" s="391">
        <v>6660</v>
      </c>
      <c r="Y50" s="392">
        <f>+Y14*0.04</f>
        <v>20000</v>
      </c>
      <c r="Z50" s="101">
        <f>+Z14*0.04</f>
        <v>20000</v>
      </c>
      <c r="AA50" s="101">
        <f>+AA14*0.04</f>
        <v>20000</v>
      </c>
      <c r="AB50" s="277">
        <f>+AB14*0.04</f>
        <v>20000</v>
      </c>
      <c r="AC50" s="32"/>
      <c r="AD50" s="131"/>
    </row>
    <row r="51" spans="1:33" ht="12" customHeight="1" x14ac:dyDescent="0.25">
      <c r="B51" s="2" t="s">
        <v>48</v>
      </c>
      <c r="C51" s="65">
        <v>463960</v>
      </c>
      <c r="D51" s="65">
        <v>523096</v>
      </c>
      <c r="E51" s="65">
        <f>-'[1]OC data'!L105</f>
        <v>350300.51</v>
      </c>
      <c r="F51" s="65">
        <v>413229</v>
      </c>
      <c r="G51" s="65">
        <v>601115</v>
      </c>
      <c r="H51" s="106">
        <v>530444</v>
      </c>
      <c r="I51" s="106">
        <f>462290-1</f>
        <v>462289</v>
      </c>
      <c r="J51" s="107">
        <f>I51/$I$73</f>
        <v>2.9174209048195815E-2</v>
      </c>
      <c r="K51" s="106">
        <f>576558-1</f>
        <v>576557</v>
      </c>
      <c r="L51" s="67">
        <v>752804</v>
      </c>
      <c r="M51" s="106">
        <v>670000</v>
      </c>
      <c r="N51" s="68">
        <f>-L51+M51</f>
        <v>-82804</v>
      </c>
      <c r="O51" s="69">
        <f t="shared" si="14"/>
        <v>-0.10999410205046732</v>
      </c>
      <c r="P51" s="70">
        <f>752804-402804+320000</f>
        <v>670000</v>
      </c>
      <c r="Q51" s="132">
        <v>550000</v>
      </c>
      <c r="R51" s="133">
        <v>563360</v>
      </c>
      <c r="S51" s="106">
        <v>580746.93999999994</v>
      </c>
      <c r="T51" s="132">
        <v>275740</v>
      </c>
      <c r="U51" s="132">
        <v>512233.91</v>
      </c>
      <c r="V51" s="68">
        <f>-R51+U51</f>
        <v>-51126.090000000026</v>
      </c>
      <c r="W51" s="253">
        <f t="shared" si="15"/>
        <v>-9.0752076824765743E-2</v>
      </c>
      <c r="X51" s="400">
        <v>292589.5</v>
      </c>
      <c r="Y51" s="393">
        <f>+Y15*0.11</f>
        <v>828028.94410408102</v>
      </c>
      <c r="Z51" s="106">
        <f>+Z15*0.11</f>
        <v>861964.69130928512</v>
      </c>
      <c r="AA51" s="106">
        <f>+AA15*0.11</f>
        <v>897597.22587474925</v>
      </c>
      <c r="AB51" s="278">
        <f>+AB15*0.11</f>
        <v>935011.38716848695</v>
      </c>
      <c r="AC51" s="32"/>
      <c r="AD51" s="131"/>
    </row>
    <row r="52" spans="1:33" ht="12.75" hidden="1" customHeight="1" x14ac:dyDescent="0.25">
      <c r="B52" s="134"/>
      <c r="C52" s="52"/>
      <c r="D52" s="52"/>
      <c r="E52" s="52"/>
      <c r="F52" s="52"/>
      <c r="G52" s="101"/>
      <c r="H52" s="101"/>
      <c r="I52" s="120"/>
      <c r="J52" s="121"/>
      <c r="K52" s="120"/>
      <c r="L52" s="102"/>
      <c r="M52" s="120"/>
      <c r="N52" s="110"/>
      <c r="O52" s="50" t="e">
        <f t="shared" si="14"/>
        <v>#DIV/0!</v>
      </c>
      <c r="P52" s="103"/>
      <c r="Q52" s="99"/>
      <c r="R52" s="102"/>
      <c r="S52" s="101"/>
      <c r="T52" s="101"/>
      <c r="U52" s="101"/>
      <c r="V52" s="110"/>
      <c r="W52" s="126" t="e">
        <f t="shared" si="15"/>
        <v>#DIV/0!</v>
      </c>
      <c r="X52" s="396"/>
      <c r="Y52" s="397"/>
      <c r="Z52" s="120"/>
      <c r="AA52" s="120"/>
      <c r="AB52" s="280"/>
      <c r="AC52" s="32"/>
    </row>
    <row r="53" spans="1:33" ht="13.35" hidden="1" customHeight="1" x14ac:dyDescent="0.25">
      <c r="C53" s="52"/>
      <c r="D53" s="52"/>
      <c r="E53" s="52"/>
      <c r="F53" s="52"/>
      <c r="G53" s="101"/>
      <c r="H53" s="101"/>
      <c r="I53" s="120"/>
      <c r="J53" s="121"/>
      <c r="K53" s="120"/>
      <c r="L53" s="102"/>
      <c r="M53" s="120"/>
      <c r="N53" s="110"/>
      <c r="O53" s="50" t="e">
        <f t="shared" si="14"/>
        <v>#DIV/0!</v>
      </c>
      <c r="P53" s="103"/>
      <c r="Q53" s="99"/>
      <c r="R53" s="102"/>
      <c r="S53" s="101"/>
      <c r="T53" s="101"/>
      <c r="U53" s="101"/>
      <c r="V53" s="110"/>
      <c r="W53" s="126" t="e">
        <f t="shared" si="15"/>
        <v>#DIV/0!</v>
      </c>
      <c r="X53" s="396"/>
      <c r="Y53" s="397"/>
      <c r="Z53" s="120"/>
      <c r="AA53" s="120"/>
      <c r="AB53" s="280"/>
      <c r="AC53" s="32"/>
    </row>
    <row r="54" spans="1:33" ht="12" customHeight="1" x14ac:dyDescent="0.25">
      <c r="C54" s="54"/>
      <c r="D54" s="54"/>
      <c r="E54" s="54"/>
      <c r="F54" s="54"/>
      <c r="G54" s="101"/>
      <c r="H54" s="101"/>
      <c r="I54" s="101"/>
      <c r="J54" s="44"/>
      <c r="K54" s="101"/>
      <c r="L54" s="102"/>
      <c r="M54" s="101"/>
      <c r="N54" s="110"/>
      <c r="O54" s="111"/>
      <c r="P54" s="103"/>
      <c r="Q54" s="101"/>
      <c r="R54" s="102"/>
      <c r="S54" s="101"/>
      <c r="T54" s="101"/>
      <c r="U54" s="101"/>
      <c r="V54" s="110"/>
      <c r="W54" s="110"/>
      <c r="X54" s="391"/>
      <c r="Y54" s="392"/>
      <c r="Z54" s="101"/>
      <c r="AA54" s="101"/>
      <c r="AB54" s="277"/>
      <c r="AC54" s="32"/>
      <c r="AF54" s="135"/>
      <c r="AG54" s="135"/>
    </row>
    <row r="55" spans="1:33" ht="12" customHeight="1" x14ac:dyDescent="0.25">
      <c r="B55" s="2" t="s">
        <v>49</v>
      </c>
      <c r="C55" s="112">
        <f t="shared" ref="C55:AB55" si="16">SUM(C45:C51)</f>
        <v>7619153</v>
      </c>
      <c r="D55" s="112">
        <f t="shared" si="16"/>
        <v>7631761</v>
      </c>
      <c r="E55" s="112">
        <f t="shared" si="16"/>
        <v>7570160.5</v>
      </c>
      <c r="F55" s="112">
        <f t="shared" si="16"/>
        <v>7657763</v>
      </c>
      <c r="G55" s="113">
        <f t="shared" si="16"/>
        <v>7846481</v>
      </c>
      <c r="H55" s="112">
        <f>SUM(H46:H51)</f>
        <v>8115040.4079999998</v>
      </c>
      <c r="I55" s="113">
        <f t="shared" si="16"/>
        <v>7473001</v>
      </c>
      <c r="J55" s="114">
        <f>I55/$I$73</f>
        <v>0.47160735685118266</v>
      </c>
      <c r="K55" s="113">
        <f t="shared" ref="K55:P55" si="17">SUM(K45:K51)</f>
        <v>8301336.04</v>
      </c>
      <c r="L55" s="115">
        <f t="shared" si="17"/>
        <v>8557824</v>
      </c>
      <c r="M55" s="113">
        <f>SUM(M45:M51)</f>
        <v>8382509</v>
      </c>
      <c r="N55" s="116">
        <f>SUM(N46:N53)</f>
        <v>-175315</v>
      </c>
      <c r="O55" s="117">
        <f>+N55/L55</f>
        <v>-2.0485931937838403E-2</v>
      </c>
      <c r="P55" s="118">
        <f t="shared" si="17"/>
        <v>8382509</v>
      </c>
      <c r="Q55" s="113">
        <v>8155859.7120000003</v>
      </c>
      <c r="R55" s="115">
        <f t="shared" si="16"/>
        <v>7796516</v>
      </c>
      <c r="S55" s="113">
        <f t="shared" ref="S55:T55" si="18">SUM(S45:S51)</f>
        <v>7534707.5700000003</v>
      </c>
      <c r="T55" s="113">
        <f t="shared" si="18"/>
        <v>5508576.8665191</v>
      </c>
      <c r="U55" s="113">
        <f t="shared" si="16"/>
        <v>4890612.25</v>
      </c>
      <c r="V55" s="116">
        <f>SUM(V46:V53)</f>
        <v>-2905903.75</v>
      </c>
      <c r="W55" s="295">
        <f>+V55/R55</f>
        <v>-0.37271824363600359</v>
      </c>
      <c r="X55" s="394">
        <f t="shared" ref="X55:AA55" si="19">SUM(X45:X51)</f>
        <v>6515307.2549999999</v>
      </c>
      <c r="Y55" s="395">
        <f t="shared" si="19"/>
        <v>7021992.7613540813</v>
      </c>
      <c r="Z55" s="113">
        <f t="shared" si="19"/>
        <v>7093675.0605257861</v>
      </c>
      <c r="AA55" s="113">
        <f t="shared" si="19"/>
        <v>7174965.1890171347</v>
      </c>
      <c r="AB55" s="279">
        <f t="shared" si="16"/>
        <v>7452466.2534928778</v>
      </c>
      <c r="AC55" s="32"/>
      <c r="AD55" s="93"/>
      <c r="AF55" s="93"/>
    </row>
    <row r="56" spans="1:33" ht="12" customHeight="1" x14ac:dyDescent="0.3">
      <c r="C56" s="30"/>
      <c r="D56" s="30"/>
      <c r="E56" s="30"/>
      <c r="F56" s="30"/>
      <c r="G56" s="32"/>
      <c r="H56" s="136"/>
      <c r="I56" s="32"/>
      <c r="J56" s="44"/>
      <c r="K56" s="32"/>
      <c r="L56" s="33"/>
      <c r="M56" s="32"/>
      <c r="N56" s="34"/>
      <c r="O56" s="35"/>
      <c r="P56" s="84"/>
      <c r="Q56"/>
      <c r="R56" s="85"/>
      <c r="S56" s="105"/>
      <c r="T56" s="32"/>
      <c r="U56" s="32"/>
      <c r="V56" s="34"/>
      <c r="W56" s="34"/>
      <c r="X56" s="387"/>
      <c r="Y56" s="388"/>
      <c r="Z56" s="32"/>
      <c r="AA56" s="32"/>
      <c r="AB56" s="275"/>
      <c r="AC56" s="32"/>
    </row>
    <row r="57" spans="1:33" ht="12" customHeight="1" x14ac:dyDescent="0.25">
      <c r="C57" s="72"/>
      <c r="D57" s="72"/>
      <c r="E57" s="72"/>
      <c r="F57" s="72"/>
      <c r="G57" s="32"/>
      <c r="H57" s="136"/>
      <c r="I57" s="32"/>
      <c r="J57" s="44"/>
      <c r="K57" s="32"/>
      <c r="L57" s="33"/>
      <c r="M57" s="32"/>
      <c r="N57" s="34"/>
      <c r="O57" s="35"/>
      <c r="P57" s="84"/>
      <c r="Q57" s="32"/>
      <c r="R57" s="33"/>
      <c r="S57" s="32"/>
      <c r="T57" s="32"/>
      <c r="U57" s="32"/>
      <c r="V57" s="34"/>
      <c r="W57" s="34"/>
      <c r="X57" s="387"/>
      <c r="Y57" s="388"/>
      <c r="Z57" s="32"/>
      <c r="AA57" s="32"/>
      <c r="AB57" s="275"/>
      <c r="AC57" s="32"/>
      <c r="AD57" s="64"/>
    </row>
    <row r="58" spans="1:33" ht="14.7" hidden="1" customHeight="1" x14ac:dyDescent="0.3">
      <c r="A58" s="3" t="s">
        <v>50</v>
      </c>
      <c r="C58" s="30"/>
      <c r="D58" s="30"/>
      <c r="E58" s="30"/>
      <c r="F58" s="30"/>
      <c r="G58" s="32"/>
      <c r="H58" s="136"/>
      <c r="I58" s="137"/>
      <c r="J58" s="121"/>
      <c r="K58" s="137"/>
      <c r="L58" s="33"/>
      <c r="M58" s="137"/>
      <c r="N58" s="34"/>
      <c r="O58" s="35"/>
      <c r="P58" s="84"/>
      <c r="Q58"/>
      <c r="R58" s="85"/>
      <c r="S58" s="105"/>
      <c r="T58" s="32"/>
      <c r="U58" s="32"/>
      <c r="V58" s="34"/>
      <c r="W58" s="34"/>
      <c r="X58" s="401"/>
      <c r="Y58" s="388"/>
      <c r="Z58" s="32"/>
      <c r="AA58" s="32"/>
      <c r="AB58" s="275"/>
      <c r="AC58" s="32"/>
    </row>
    <row r="59" spans="1:33" ht="13.35" hidden="1" customHeight="1" x14ac:dyDescent="0.25">
      <c r="A59" s="138"/>
      <c r="B59" s="138"/>
      <c r="C59" s="139"/>
      <c r="D59" s="140"/>
      <c r="E59" s="139"/>
      <c r="F59" s="139"/>
      <c r="G59" s="141"/>
      <c r="H59" s="142"/>
      <c r="I59" s="143"/>
      <c r="J59" s="144"/>
      <c r="K59" s="143"/>
      <c r="L59" s="145"/>
      <c r="M59" s="143"/>
      <c r="N59" s="146"/>
      <c r="O59" s="147"/>
      <c r="P59" s="148"/>
      <c r="Q59" s="149"/>
      <c r="R59" s="145"/>
      <c r="S59" s="141"/>
      <c r="T59" s="141"/>
      <c r="U59" s="141"/>
      <c r="V59" s="146"/>
      <c r="W59" s="146"/>
      <c r="X59" s="402"/>
      <c r="Y59" s="403"/>
      <c r="Z59" s="141"/>
      <c r="AA59" s="141"/>
      <c r="AB59" s="282"/>
      <c r="AC59" s="32"/>
    </row>
    <row r="60" spans="1:33" ht="13.35" hidden="1" customHeight="1" x14ac:dyDescent="0.25">
      <c r="A60" s="3" t="s">
        <v>51</v>
      </c>
      <c r="C60" s="140"/>
      <c r="D60" s="140"/>
      <c r="E60" s="140"/>
      <c r="F60" s="140"/>
      <c r="G60" s="150"/>
      <c r="H60" s="151"/>
      <c r="I60" s="152"/>
      <c r="J60" s="121"/>
      <c r="K60" s="152"/>
      <c r="L60" s="153"/>
      <c r="M60" s="152"/>
      <c r="N60" s="154"/>
      <c r="O60" s="155"/>
      <c r="P60" s="156"/>
      <c r="Q60" s="157"/>
      <c r="R60" s="153"/>
      <c r="S60" s="150"/>
      <c r="T60" s="150"/>
      <c r="U60" s="150"/>
      <c r="V60" s="154"/>
      <c r="W60" s="154"/>
      <c r="X60" s="404"/>
      <c r="Y60" s="405"/>
      <c r="Z60" s="150"/>
      <c r="AA60" s="150"/>
      <c r="AB60" s="283"/>
      <c r="AC60" s="32"/>
    </row>
    <row r="61" spans="1:33" ht="13.35" hidden="1" customHeight="1" x14ac:dyDescent="0.25">
      <c r="A61" s="3" t="s">
        <v>52</v>
      </c>
      <c r="C61" s="140">
        <v>0</v>
      </c>
      <c r="D61" s="140">
        <v>34092</v>
      </c>
      <c r="E61" s="140">
        <v>0</v>
      </c>
      <c r="F61" s="140">
        <v>0</v>
      </c>
      <c r="G61" s="150"/>
      <c r="H61" s="151"/>
      <c r="I61" s="152"/>
      <c r="J61" s="121"/>
      <c r="K61" s="152"/>
      <c r="L61" s="153"/>
      <c r="M61" s="152"/>
      <c r="N61" s="154"/>
      <c r="O61" s="155"/>
      <c r="P61" s="156"/>
      <c r="Q61" s="157"/>
      <c r="R61" s="153"/>
      <c r="S61" s="150"/>
      <c r="T61" s="150"/>
      <c r="U61" s="150"/>
      <c r="V61" s="154"/>
      <c r="W61" s="154"/>
      <c r="X61" s="404"/>
      <c r="Y61" s="405"/>
      <c r="Z61" s="150"/>
      <c r="AA61" s="150"/>
      <c r="AB61" s="283"/>
      <c r="AC61" s="32"/>
    </row>
    <row r="62" spans="1:33" ht="13.35" hidden="1" customHeight="1" x14ac:dyDescent="0.25">
      <c r="A62" s="3" t="s">
        <v>53</v>
      </c>
      <c r="C62" s="140">
        <v>0</v>
      </c>
      <c r="D62" s="140">
        <v>0</v>
      </c>
      <c r="E62" s="140">
        <v>0</v>
      </c>
      <c r="F62" s="140">
        <v>0</v>
      </c>
      <c r="G62" s="150">
        <v>139758</v>
      </c>
      <c r="H62" s="151"/>
      <c r="I62" s="152">
        <v>943772</v>
      </c>
      <c r="J62" s="121"/>
      <c r="K62" s="152"/>
      <c r="L62" s="153">
        <v>1325525</v>
      </c>
      <c r="M62" s="152"/>
      <c r="N62" s="154"/>
      <c r="O62" s="155"/>
      <c r="P62" s="156">
        <v>1325525</v>
      </c>
      <c r="Q62" s="157">
        <v>1160414</v>
      </c>
      <c r="R62" s="153"/>
      <c r="S62" s="150"/>
      <c r="T62" s="150">
        <v>1160414</v>
      </c>
      <c r="U62" s="150">
        <v>1160414</v>
      </c>
      <c r="V62" s="154"/>
      <c r="W62" s="154"/>
      <c r="X62" s="404">
        <v>1160414</v>
      </c>
      <c r="Y62" s="405">
        <v>1160414</v>
      </c>
      <c r="Z62" s="150">
        <v>1160414</v>
      </c>
      <c r="AA62" s="150">
        <v>1160414</v>
      </c>
      <c r="AB62" s="283">
        <v>1160414</v>
      </c>
      <c r="AC62" s="32"/>
    </row>
    <row r="63" spans="1:33" ht="14.7" hidden="1" customHeight="1" x14ac:dyDescent="0.3">
      <c r="A63" s="3" t="s">
        <v>54</v>
      </c>
      <c r="C63" s="140"/>
      <c r="D63" s="140"/>
      <c r="E63" s="140"/>
      <c r="F63" s="140"/>
      <c r="G63" s="150">
        <v>0</v>
      </c>
      <c r="H63" s="136"/>
      <c r="I63" s="137"/>
      <c r="J63" s="121"/>
      <c r="K63" s="137"/>
      <c r="L63" s="33"/>
      <c r="M63" s="137"/>
      <c r="N63" s="34"/>
      <c r="O63" s="35"/>
      <c r="P63" s="84"/>
      <c r="Q63"/>
      <c r="R63" s="85"/>
      <c r="S63" s="105"/>
      <c r="T63" s="32"/>
      <c r="U63" s="32"/>
      <c r="V63" s="34"/>
      <c r="W63" s="34"/>
      <c r="X63" s="401"/>
      <c r="Y63" s="388"/>
      <c r="Z63" s="32"/>
      <c r="AA63" s="32"/>
      <c r="AB63" s="275"/>
      <c r="AC63" s="32"/>
    </row>
    <row r="64" spans="1:33" ht="13.35" hidden="1" customHeight="1" x14ac:dyDescent="0.25">
      <c r="A64" s="32" t="s">
        <v>55</v>
      </c>
      <c r="C64" s="140">
        <v>0</v>
      </c>
      <c r="D64" s="140">
        <v>0</v>
      </c>
      <c r="E64" s="140">
        <v>0</v>
      </c>
      <c r="F64" s="140">
        <v>0</v>
      </c>
      <c r="G64" s="150">
        <v>350000</v>
      </c>
      <c r="H64" s="151"/>
      <c r="I64" s="152"/>
      <c r="J64" s="121"/>
      <c r="K64" s="152"/>
      <c r="L64" s="153"/>
      <c r="M64" s="152"/>
      <c r="N64" s="154"/>
      <c r="O64" s="155"/>
      <c r="P64" s="156"/>
      <c r="Q64" s="157"/>
      <c r="R64" s="153"/>
      <c r="S64" s="150"/>
      <c r="T64" s="150"/>
      <c r="U64" s="150"/>
      <c r="V64" s="154"/>
      <c r="W64" s="154"/>
      <c r="X64" s="404"/>
      <c r="Y64" s="405"/>
      <c r="Z64" s="150"/>
      <c r="AA64" s="150"/>
      <c r="AB64" s="283"/>
      <c r="AC64" s="32"/>
    </row>
    <row r="65" spans="1:33" ht="14.7" hidden="1" customHeight="1" x14ac:dyDescent="0.3">
      <c r="A65" s="32"/>
      <c r="C65" s="30"/>
      <c r="D65" s="140"/>
      <c r="E65" s="140"/>
      <c r="F65" s="140"/>
      <c r="G65" s="32"/>
      <c r="H65" s="136"/>
      <c r="I65" s="137"/>
      <c r="J65" s="121"/>
      <c r="K65" s="137"/>
      <c r="L65" s="33"/>
      <c r="M65" s="137"/>
      <c r="N65" s="34"/>
      <c r="O65" s="35"/>
      <c r="P65" s="84"/>
      <c r="Q65"/>
      <c r="R65" s="85"/>
      <c r="S65" s="105"/>
      <c r="T65" s="32"/>
      <c r="U65" s="32"/>
      <c r="V65" s="34"/>
      <c r="W65" s="34"/>
      <c r="X65" s="401"/>
      <c r="Y65" s="388"/>
      <c r="Z65" s="32"/>
      <c r="AA65" s="32"/>
      <c r="AB65" s="275"/>
      <c r="AC65" s="32"/>
    </row>
    <row r="66" spans="1:33" ht="13.35" hidden="1" customHeight="1" x14ac:dyDescent="0.25">
      <c r="A66" s="2" t="s">
        <v>56</v>
      </c>
      <c r="C66" s="158">
        <v>0</v>
      </c>
      <c r="D66" s="158">
        <f>SUM(D61:D65)</f>
        <v>34092</v>
      </c>
      <c r="E66" s="158">
        <f>SUM(E61:E65)</f>
        <v>0</v>
      </c>
      <c r="F66" s="158">
        <f>SUM(F61:F65)</f>
        <v>0</v>
      </c>
      <c r="G66" s="159">
        <f>SUM(G61:G65)</f>
        <v>489758</v>
      </c>
      <c r="H66" s="159"/>
      <c r="I66" s="160">
        <f t="shared" ref="I66:AB66" si="20">SUM(I61:I65)</f>
        <v>943772</v>
      </c>
      <c r="J66" s="161"/>
      <c r="K66" s="160"/>
      <c r="L66" s="162">
        <f t="shared" ref="L66:P66" si="21">SUM(L61:L65)</f>
        <v>1325525</v>
      </c>
      <c r="M66" s="160"/>
      <c r="N66" s="163"/>
      <c r="O66" s="164"/>
      <c r="P66" s="165">
        <f t="shared" si="21"/>
        <v>1325525</v>
      </c>
      <c r="Q66" s="159">
        <v>1160414</v>
      </c>
      <c r="R66" s="162"/>
      <c r="S66" s="159"/>
      <c r="T66" s="159">
        <f t="shared" ref="T66" si="22">SUM(T61:T65)</f>
        <v>1160414</v>
      </c>
      <c r="U66" s="159">
        <f t="shared" si="20"/>
        <v>1160414</v>
      </c>
      <c r="V66" s="163"/>
      <c r="W66" s="163"/>
      <c r="X66" s="406">
        <f t="shared" si="20"/>
        <v>1160414</v>
      </c>
      <c r="Y66" s="407">
        <f t="shared" si="20"/>
        <v>1160414</v>
      </c>
      <c r="Z66" s="159">
        <f t="shared" si="20"/>
        <v>1160414</v>
      </c>
      <c r="AA66" s="159">
        <f t="shared" si="20"/>
        <v>1160414</v>
      </c>
      <c r="AB66" s="284">
        <f t="shared" si="20"/>
        <v>1160414</v>
      </c>
      <c r="AC66" s="32"/>
    </row>
    <row r="67" spans="1:33" ht="14.7" hidden="1" customHeight="1" x14ac:dyDescent="0.3">
      <c r="C67" s="30"/>
      <c r="D67" s="30"/>
      <c r="E67" s="30"/>
      <c r="F67" s="30"/>
      <c r="G67" s="32"/>
      <c r="H67" s="136"/>
      <c r="I67" s="137"/>
      <c r="J67" s="121"/>
      <c r="K67" s="137"/>
      <c r="L67" s="33"/>
      <c r="M67" s="137"/>
      <c r="N67" s="34"/>
      <c r="O67" s="35"/>
      <c r="P67" s="84"/>
      <c r="Q67"/>
      <c r="R67" s="85"/>
      <c r="S67" s="105"/>
      <c r="T67" s="32"/>
      <c r="U67" s="32"/>
      <c r="V67" s="34"/>
      <c r="W67" s="34"/>
      <c r="X67" s="401"/>
      <c r="Y67" s="388"/>
      <c r="Z67" s="32"/>
      <c r="AA67" s="32"/>
      <c r="AB67" s="275"/>
      <c r="AC67" s="32"/>
    </row>
    <row r="68" spans="1:33" ht="13.35" hidden="1" customHeight="1" x14ac:dyDescent="0.25">
      <c r="A68" s="3" t="s">
        <v>57</v>
      </c>
      <c r="C68" s="166">
        <v>0</v>
      </c>
      <c r="D68" s="166">
        <v>0</v>
      </c>
      <c r="E68" s="166">
        <v>0</v>
      </c>
      <c r="F68" s="166">
        <v>0</v>
      </c>
      <c r="G68" s="167">
        <v>0</v>
      </c>
      <c r="H68" s="168"/>
      <c r="I68" s="169">
        <v>0</v>
      </c>
      <c r="J68" s="121"/>
      <c r="K68" s="169"/>
      <c r="L68" s="170">
        <v>0</v>
      </c>
      <c r="M68" s="169"/>
      <c r="N68" s="171"/>
      <c r="O68" s="172"/>
      <c r="P68" s="173">
        <v>0</v>
      </c>
      <c r="Q68" s="174">
        <v>0</v>
      </c>
      <c r="R68" s="170"/>
      <c r="S68" s="167"/>
      <c r="T68" s="167">
        <v>0</v>
      </c>
      <c r="U68" s="167">
        <v>0</v>
      </c>
      <c r="V68" s="171"/>
      <c r="W68" s="171"/>
      <c r="X68" s="408">
        <v>0</v>
      </c>
      <c r="Y68" s="409">
        <v>0</v>
      </c>
      <c r="Z68" s="167">
        <v>0</v>
      </c>
      <c r="AA68" s="167">
        <v>0</v>
      </c>
      <c r="AB68" s="285">
        <v>0</v>
      </c>
      <c r="AC68" s="32"/>
    </row>
    <row r="69" spans="1:33" ht="13.35" hidden="1" customHeight="1" x14ac:dyDescent="0.25">
      <c r="C69" s="166"/>
      <c r="D69" s="166"/>
      <c r="E69" s="166"/>
      <c r="F69" s="166"/>
      <c r="G69" s="167"/>
      <c r="H69" s="168"/>
      <c r="I69" s="169"/>
      <c r="J69" s="121"/>
      <c r="K69" s="169"/>
      <c r="L69" s="170"/>
      <c r="M69" s="169"/>
      <c r="N69" s="171"/>
      <c r="O69" s="172"/>
      <c r="P69" s="173"/>
      <c r="Q69" s="174"/>
      <c r="R69" s="170"/>
      <c r="S69" s="167"/>
      <c r="T69" s="167"/>
      <c r="U69" s="167"/>
      <c r="V69" s="171"/>
      <c r="W69" s="171"/>
      <c r="X69" s="408"/>
      <c r="Y69" s="409"/>
      <c r="Z69" s="167"/>
      <c r="AA69" s="167"/>
      <c r="AB69" s="285"/>
      <c r="AC69" s="32"/>
    </row>
    <row r="70" spans="1:33" ht="13.35" hidden="1" customHeight="1" x14ac:dyDescent="0.25">
      <c r="A70" s="2" t="s">
        <v>58</v>
      </c>
      <c r="C70" s="158">
        <v>8893786.0899999999</v>
      </c>
      <c r="D70" s="158">
        <f t="shared" ref="D70:AB70" si="23">+D66+D55</f>
        <v>7665853</v>
      </c>
      <c r="E70" s="158">
        <f t="shared" si="23"/>
        <v>7570160.5</v>
      </c>
      <c r="F70" s="158">
        <f t="shared" si="23"/>
        <v>7657763</v>
      </c>
      <c r="G70" s="159">
        <f t="shared" si="23"/>
        <v>8336239</v>
      </c>
      <c r="H70" s="159"/>
      <c r="I70" s="160">
        <f t="shared" si="23"/>
        <v>8416773</v>
      </c>
      <c r="J70" s="161"/>
      <c r="K70" s="160"/>
      <c r="L70" s="162">
        <f t="shared" ref="L70:P70" si="24">+L66+L55</f>
        <v>9883349</v>
      </c>
      <c r="M70" s="160"/>
      <c r="N70" s="163"/>
      <c r="O70" s="164"/>
      <c r="P70" s="165">
        <f t="shared" si="24"/>
        <v>9708034</v>
      </c>
      <c r="Q70" s="159">
        <v>9316273.7120000012</v>
      </c>
      <c r="R70" s="162"/>
      <c r="S70" s="159"/>
      <c r="T70" s="159">
        <f t="shared" ref="T70" si="25">+T66+T55</f>
        <v>6668990.8665191</v>
      </c>
      <c r="U70" s="159">
        <f t="shared" si="23"/>
        <v>6051026.25</v>
      </c>
      <c r="V70" s="163"/>
      <c r="W70" s="163"/>
      <c r="X70" s="406">
        <f t="shared" si="23"/>
        <v>7675721.2549999999</v>
      </c>
      <c r="Y70" s="407">
        <f t="shared" si="23"/>
        <v>8182406.7613540813</v>
      </c>
      <c r="Z70" s="159">
        <f t="shared" si="23"/>
        <v>8254089.0605257861</v>
      </c>
      <c r="AA70" s="159">
        <f t="shared" si="23"/>
        <v>8335379.1890171347</v>
      </c>
      <c r="AB70" s="284">
        <f t="shared" si="23"/>
        <v>8612880.2534928769</v>
      </c>
      <c r="AC70" s="32"/>
    </row>
    <row r="71" spans="1:33" ht="13.35" hidden="1" customHeight="1" x14ac:dyDescent="0.25">
      <c r="C71" s="175">
        <v>-5.3650085140555137E-2</v>
      </c>
      <c r="D71" s="175"/>
      <c r="E71" s="175"/>
      <c r="F71" s="175"/>
      <c r="G71" s="176"/>
      <c r="H71" s="177"/>
      <c r="I71" s="178"/>
      <c r="J71" s="121"/>
      <c r="K71" s="178"/>
      <c r="L71" s="179"/>
      <c r="M71" s="178"/>
      <c r="N71" s="180"/>
      <c r="O71" s="181"/>
      <c r="P71" s="182"/>
      <c r="Q71" s="183"/>
      <c r="R71" s="179"/>
      <c r="S71" s="176"/>
      <c r="T71" s="176"/>
      <c r="U71" s="176"/>
      <c r="V71" s="180"/>
      <c r="W71" s="180"/>
      <c r="X71" s="410"/>
      <c r="Y71" s="411"/>
      <c r="Z71" s="176"/>
      <c r="AA71" s="176"/>
      <c r="AB71" s="286"/>
      <c r="AC71" s="32"/>
    </row>
    <row r="72" spans="1:33" ht="14.7" hidden="1" customHeight="1" x14ac:dyDescent="0.3">
      <c r="C72" s="30"/>
      <c r="D72" s="30"/>
      <c r="E72" s="30"/>
      <c r="F72" s="30"/>
      <c r="G72" s="32"/>
      <c r="H72" s="136"/>
      <c r="I72" s="137"/>
      <c r="J72" s="121"/>
      <c r="K72" s="137"/>
      <c r="L72" s="33"/>
      <c r="M72" s="137"/>
      <c r="N72" s="34"/>
      <c r="O72" s="35"/>
      <c r="P72" s="84"/>
      <c r="Q72"/>
      <c r="R72" s="85"/>
      <c r="S72" s="105"/>
      <c r="T72" s="32"/>
      <c r="U72" s="32"/>
      <c r="V72" s="34"/>
      <c r="W72" s="34"/>
      <c r="X72" s="401"/>
      <c r="Y72" s="388"/>
      <c r="Z72" s="32"/>
      <c r="AA72" s="32"/>
      <c r="AB72" s="275"/>
      <c r="AC72" s="32"/>
    </row>
    <row r="73" spans="1:33" ht="12" customHeight="1" thickBot="1" x14ac:dyDescent="0.35">
      <c r="B73" s="2" t="s">
        <v>59</v>
      </c>
      <c r="C73" s="184">
        <f t="shared" ref="C73:AB73" si="26">+C34+C55</f>
        <v>15658032.17</v>
      </c>
      <c r="D73" s="184">
        <f t="shared" si="26"/>
        <v>16613271</v>
      </c>
      <c r="E73" s="184">
        <f t="shared" si="26"/>
        <v>16730118.879090909</v>
      </c>
      <c r="F73" s="184">
        <f t="shared" si="26"/>
        <v>16509910.90909091</v>
      </c>
      <c r="G73" s="184">
        <f t="shared" si="26"/>
        <v>15889751.90909091</v>
      </c>
      <c r="H73" s="184">
        <f>H34+H55</f>
        <v>17753140.31709091</v>
      </c>
      <c r="I73" s="184">
        <f t="shared" si="26"/>
        <v>15845810.90909091</v>
      </c>
      <c r="J73" s="185">
        <f>I73/$I$73</f>
        <v>1</v>
      </c>
      <c r="K73" s="184">
        <f t="shared" ref="K73:P73" si="27">+K34+K55</f>
        <v>16184383.039999999</v>
      </c>
      <c r="L73" s="186">
        <f t="shared" si="27"/>
        <v>17224463</v>
      </c>
      <c r="M73" s="184">
        <f>+M34+M55</f>
        <v>16775754</v>
      </c>
      <c r="N73" s="187">
        <f>+N34+N55</f>
        <v>-448709</v>
      </c>
      <c r="O73" s="188">
        <f>+N73/L73</f>
        <v>-2.6050681521972558E-2</v>
      </c>
      <c r="P73" s="189">
        <f t="shared" si="27"/>
        <v>16775754</v>
      </c>
      <c r="Q73" s="184">
        <v>17473301.212000001</v>
      </c>
      <c r="R73" s="186">
        <f t="shared" si="26"/>
        <v>15835650</v>
      </c>
      <c r="S73" s="184">
        <f t="shared" si="26"/>
        <v>14462772.91</v>
      </c>
      <c r="T73" s="184">
        <f t="shared" si="26"/>
        <v>9926615.7815190963</v>
      </c>
      <c r="U73" s="184">
        <f t="shared" si="26"/>
        <v>15546517.473159585</v>
      </c>
      <c r="V73" s="187">
        <f>+V34+V55</f>
        <v>-2789132.5268404158</v>
      </c>
      <c r="W73" s="296">
        <f>+V73/R73</f>
        <v>-0.17612996794198002</v>
      </c>
      <c r="X73" s="412">
        <f t="shared" si="26"/>
        <v>16829623.182491515</v>
      </c>
      <c r="Y73" s="413">
        <f t="shared" si="26"/>
        <v>17605563.693430077</v>
      </c>
      <c r="Z73" s="184">
        <f t="shared" si="26"/>
        <v>19132429.133501809</v>
      </c>
      <c r="AA73" s="184">
        <f t="shared" si="26"/>
        <v>20531199.623265412</v>
      </c>
      <c r="AB73" s="287">
        <f t="shared" si="26"/>
        <v>22003550.627620328</v>
      </c>
      <c r="AC73" s="194"/>
      <c r="AD73"/>
      <c r="AE73"/>
    </row>
    <row r="74" spans="1:33" ht="12" customHeight="1" thickTop="1" x14ac:dyDescent="0.3">
      <c r="C74" s="190"/>
      <c r="D74" s="190"/>
      <c r="E74" s="190"/>
      <c r="F74" s="190"/>
      <c r="G74" s="167"/>
      <c r="H74" s="167"/>
      <c r="I74" s="167"/>
      <c r="J74" s="167"/>
      <c r="K74" s="167"/>
      <c r="L74" s="170"/>
      <c r="M74" s="167"/>
      <c r="N74" s="171"/>
      <c r="O74" s="172"/>
      <c r="P74" s="173"/>
      <c r="Q74" s="167"/>
      <c r="R74" s="170"/>
      <c r="S74" s="167"/>
      <c r="T74" s="167"/>
      <c r="U74" s="167"/>
      <c r="V74" s="171"/>
      <c r="W74" s="171"/>
      <c r="X74" s="387"/>
      <c r="Y74" s="388"/>
      <c r="Z74" s="32"/>
      <c r="AA74" s="32"/>
      <c r="AB74" s="275"/>
      <c r="AC74" s="32"/>
      <c r="AD74"/>
      <c r="AE74"/>
    </row>
    <row r="75" spans="1:33" ht="12" customHeight="1" x14ac:dyDescent="0.3">
      <c r="B75" s="2" t="s">
        <v>60</v>
      </c>
      <c r="G75" s="32"/>
      <c r="H75" s="32"/>
      <c r="I75" s="196"/>
      <c r="J75" s="196"/>
      <c r="K75" s="197"/>
      <c r="L75" s="198">
        <v>150000</v>
      </c>
      <c r="M75" s="197">
        <v>150000</v>
      </c>
      <c r="N75" s="110">
        <f>+L75-M75</f>
        <v>0</v>
      </c>
      <c r="O75" s="50">
        <f t="shared" ref="O75" si="28">+N75/L75</f>
        <v>0</v>
      </c>
      <c r="P75" s="199">
        <v>150000</v>
      </c>
      <c r="Q75" s="197"/>
      <c r="R75" s="198"/>
      <c r="S75" s="197"/>
      <c r="T75" s="200"/>
      <c r="U75" s="200"/>
      <c r="V75" s="110"/>
      <c r="W75" s="126"/>
      <c r="X75" s="414"/>
      <c r="Y75" s="415"/>
      <c r="Z75" s="200"/>
      <c r="AA75" s="200"/>
      <c r="AB75" s="288"/>
      <c r="AC75" s="32"/>
      <c r="AD75"/>
      <c r="AE75"/>
    </row>
    <row r="76" spans="1:33" ht="12" customHeight="1" x14ac:dyDescent="0.3">
      <c r="B76" s="195"/>
      <c r="G76" s="32"/>
      <c r="H76" s="32"/>
      <c r="J76" s="196"/>
      <c r="K76" s="197"/>
      <c r="L76" s="198"/>
      <c r="M76" s="197"/>
      <c r="N76" s="110"/>
      <c r="O76" s="50"/>
      <c r="P76" s="199"/>
      <c r="Q76" s="197"/>
      <c r="R76" s="198"/>
      <c r="S76" s="197"/>
      <c r="T76" s="200"/>
      <c r="U76" s="200"/>
      <c r="V76" s="110"/>
      <c r="W76" s="126"/>
      <c r="X76" s="414"/>
      <c r="Y76" s="415"/>
      <c r="Z76" s="200"/>
      <c r="AA76" s="200"/>
      <c r="AB76" s="288"/>
      <c r="AC76" s="32"/>
      <c r="AD76"/>
      <c r="AE76"/>
    </row>
    <row r="77" spans="1:33" ht="12" customHeight="1" x14ac:dyDescent="0.3">
      <c r="B77" s="195" t="s">
        <v>76</v>
      </c>
      <c r="G77" s="32"/>
      <c r="H77" s="32"/>
      <c r="I77" s="196"/>
      <c r="J77" s="196"/>
      <c r="K77" s="197"/>
      <c r="L77" s="198"/>
      <c r="M77" s="197"/>
      <c r="N77" s="110"/>
      <c r="O77" s="50"/>
      <c r="P77" s="199"/>
      <c r="Q77" s="197"/>
      <c r="R77" s="198"/>
      <c r="S77" s="197"/>
      <c r="T77" s="200"/>
      <c r="U77" s="200"/>
      <c r="V77" s="110"/>
      <c r="W77" s="126"/>
      <c r="X77" s="391"/>
      <c r="Y77" s="392">
        <v>542771.37740130816</v>
      </c>
      <c r="Z77" s="101">
        <v>562051.86325194954</v>
      </c>
      <c r="AA77" s="101">
        <v>582305.27132195712</v>
      </c>
      <c r="AB77" s="277">
        <v>603288.50623761711</v>
      </c>
      <c r="AC77" s="32"/>
      <c r="AD77" s="309"/>
      <c r="AE77" s="309"/>
      <c r="AF77" s="99"/>
      <c r="AG77" s="99"/>
    </row>
    <row r="78" spans="1:33" ht="12" customHeight="1" x14ac:dyDescent="0.3">
      <c r="B78" s="195"/>
      <c r="X78" s="387"/>
      <c r="Y78" s="415" t="s">
        <v>3</v>
      </c>
      <c r="Z78" s="200" t="s">
        <v>3</v>
      </c>
      <c r="AA78" s="200" t="s">
        <v>3</v>
      </c>
      <c r="AB78" s="288" t="s">
        <v>3</v>
      </c>
      <c r="AD78"/>
      <c r="AE78"/>
    </row>
    <row r="79" spans="1:33" ht="12" customHeight="1" x14ac:dyDescent="0.3">
      <c r="B79" s="195" t="s">
        <v>150</v>
      </c>
      <c r="G79" s="32"/>
      <c r="H79" s="32"/>
      <c r="I79" s="196"/>
      <c r="J79" s="196"/>
      <c r="K79" s="197"/>
      <c r="L79" s="198"/>
      <c r="M79" s="197"/>
      <c r="N79" s="110"/>
      <c r="O79" s="50"/>
      <c r="P79" s="199"/>
      <c r="Q79" s="197"/>
      <c r="R79" s="198"/>
      <c r="S79" s="197"/>
      <c r="T79" s="200"/>
      <c r="U79" s="200"/>
      <c r="V79" s="110"/>
      <c r="W79" s="126"/>
      <c r="X79" s="414">
        <v>1500000</v>
      </c>
      <c r="Y79" s="415">
        <f>+X79</f>
        <v>1500000</v>
      </c>
      <c r="Z79" s="200">
        <f>+X79</f>
        <v>1500000</v>
      </c>
      <c r="AA79" s="200">
        <f>+X79</f>
        <v>1500000</v>
      </c>
      <c r="AB79" s="288">
        <f>+X79</f>
        <v>1500000</v>
      </c>
      <c r="AC79" s="32"/>
      <c r="AD79"/>
      <c r="AE79"/>
    </row>
    <row r="80" spans="1:33" ht="12" customHeight="1" x14ac:dyDescent="0.3">
      <c r="B80" s="195"/>
      <c r="G80" s="32"/>
      <c r="H80" s="32"/>
      <c r="I80" s="196"/>
      <c r="J80" s="196"/>
      <c r="K80" s="196"/>
      <c r="L80" s="33"/>
      <c r="M80" s="196"/>
      <c r="N80" s="34"/>
      <c r="O80" s="50"/>
      <c r="P80" s="84"/>
      <c r="Q80" s="32"/>
      <c r="R80" s="33"/>
      <c r="S80" s="32"/>
      <c r="T80" s="32"/>
      <c r="U80" s="32"/>
      <c r="V80" s="34"/>
      <c r="W80" s="126"/>
      <c r="X80" s="387"/>
      <c r="Y80" s="388"/>
      <c r="Z80" s="32"/>
      <c r="AA80" s="32"/>
      <c r="AB80" s="275"/>
      <c r="AC80" s="32"/>
      <c r="AD80"/>
      <c r="AE80"/>
    </row>
    <row r="81" spans="2:33" ht="12" customHeight="1" x14ac:dyDescent="0.3">
      <c r="B81" s="195" t="s">
        <v>78</v>
      </c>
      <c r="C81" s="201">
        <v>2029080.0199999986</v>
      </c>
      <c r="D81" s="201">
        <v>1793937.2150000003</v>
      </c>
      <c r="E81" s="201">
        <v>1737821.879999999</v>
      </c>
      <c r="F81" s="201">
        <v>1869308</v>
      </c>
      <c r="G81" s="101">
        <v>1955710</v>
      </c>
      <c r="H81" s="99">
        <v>2136068</v>
      </c>
      <c r="I81" s="101">
        <v>1969129</v>
      </c>
      <c r="J81" s="101"/>
      <c r="K81" s="101">
        <v>2763019</v>
      </c>
      <c r="L81" s="102">
        <v>2034793</v>
      </c>
      <c r="M81" s="101">
        <v>1767797</v>
      </c>
      <c r="N81" s="110">
        <f t="shared" ref="N81:N88" si="29">+L81-M81</f>
        <v>266996</v>
      </c>
      <c r="O81" s="50">
        <f t="shared" ref="O81:O90" si="30">+N81/L81</f>
        <v>0.13121531281068885</v>
      </c>
      <c r="P81" s="103">
        <f>2034793-145000-40000-81996</f>
        <v>1767797</v>
      </c>
      <c r="Q81" s="202">
        <v>2049989</v>
      </c>
      <c r="R81" s="102">
        <v>1952088</v>
      </c>
      <c r="S81" s="101">
        <f>3303219-S83</f>
        <v>2597651</v>
      </c>
      <c r="T81" s="101">
        <v>2712742</v>
      </c>
      <c r="U81" s="101">
        <f>2972120-U83</f>
        <v>2392734.3605158729</v>
      </c>
      <c r="V81" s="110">
        <f t="shared" ref="V81:V88" si="31">+R81-U81</f>
        <v>-440646.36051587295</v>
      </c>
      <c r="W81" s="126">
        <f t="shared" ref="W81:W88" si="32">+V81/R81</f>
        <v>-0.22573078699109514</v>
      </c>
      <c r="X81" s="414">
        <v>2386225</v>
      </c>
      <c r="Y81" s="392">
        <f>+X81</f>
        <v>2386225</v>
      </c>
      <c r="Z81" s="203">
        <f>+Y81</f>
        <v>2386225</v>
      </c>
      <c r="AA81" s="203">
        <f t="shared" ref="AA81:AB88" si="33">+Y81</f>
        <v>2386225</v>
      </c>
      <c r="AB81" s="289">
        <f t="shared" si="33"/>
        <v>2386225</v>
      </c>
      <c r="AC81" s="32"/>
      <c r="AD81"/>
      <c r="AE81"/>
    </row>
    <row r="82" spans="2:33" ht="12" customHeight="1" x14ac:dyDescent="0.3">
      <c r="B82" s="195" t="s">
        <v>61</v>
      </c>
      <c r="C82" s="201">
        <v>2762524.09</v>
      </c>
      <c r="D82" s="201">
        <v>2788770.4849999999</v>
      </c>
      <c r="E82" s="201">
        <v>2860135.3</v>
      </c>
      <c r="F82" s="201">
        <v>2699288</v>
      </c>
      <c r="G82" s="101">
        <v>2965045</v>
      </c>
      <c r="H82" s="99">
        <v>2308038</v>
      </c>
      <c r="I82" s="101">
        <v>2202629</v>
      </c>
      <c r="J82" s="120"/>
      <c r="K82" s="101"/>
      <c r="L82" s="102">
        <v>2296659</v>
      </c>
      <c r="M82" s="101">
        <v>2168701</v>
      </c>
      <c r="N82" s="110">
        <f t="shared" si="29"/>
        <v>127958</v>
      </c>
      <c r="O82" s="50">
        <f t="shared" si="30"/>
        <v>5.5714844911673868E-2</v>
      </c>
      <c r="P82" s="103">
        <f>2296659-67000-60958</f>
        <v>2168701</v>
      </c>
      <c r="Q82" s="202">
        <v>2339314</v>
      </c>
      <c r="R82" s="102">
        <v>1955083</v>
      </c>
      <c r="S82" s="101"/>
      <c r="T82" s="101"/>
      <c r="U82" s="101"/>
      <c r="V82" s="110">
        <f t="shared" si="31"/>
        <v>1955083</v>
      </c>
      <c r="W82" s="126">
        <f t="shared" si="32"/>
        <v>1</v>
      </c>
      <c r="X82" s="391"/>
      <c r="Y82" s="392"/>
      <c r="Z82" s="203"/>
      <c r="AA82" s="203"/>
      <c r="AB82" s="289"/>
      <c r="AC82" s="32"/>
      <c r="AD82"/>
      <c r="AE82"/>
    </row>
    <row r="83" spans="2:33" ht="12" customHeight="1" x14ac:dyDescent="0.3">
      <c r="B83" s="195" t="s">
        <v>62</v>
      </c>
      <c r="C83" s="201"/>
      <c r="D83" s="201"/>
      <c r="E83" s="201"/>
      <c r="F83" s="201"/>
      <c r="G83" s="101"/>
      <c r="H83" s="99">
        <v>764416</v>
      </c>
      <c r="I83" s="101">
        <v>744816</v>
      </c>
      <c r="J83" s="120"/>
      <c r="K83" s="101">
        <v>746850</v>
      </c>
      <c r="L83" s="102">
        <v>755302</v>
      </c>
      <c r="M83" s="101">
        <v>755302</v>
      </c>
      <c r="N83" s="110">
        <f t="shared" si="29"/>
        <v>0</v>
      </c>
      <c r="O83" s="50">
        <f t="shared" si="30"/>
        <v>0</v>
      </c>
      <c r="P83" s="103">
        <v>755302</v>
      </c>
      <c r="Q83" s="202">
        <v>778487</v>
      </c>
      <c r="R83" s="102">
        <v>754462</v>
      </c>
      <c r="S83" s="101">
        <v>705568</v>
      </c>
      <c r="T83" s="101">
        <v>804042</v>
      </c>
      <c r="U83" s="101">
        <v>579385.63948412705</v>
      </c>
      <c r="V83" s="110">
        <f t="shared" si="31"/>
        <v>175076.36051587295</v>
      </c>
      <c r="W83" s="126">
        <f t="shared" si="32"/>
        <v>0.23205457732248005</v>
      </c>
      <c r="X83" s="391">
        <v>793280</v>
      </c>
      <c r="Y83" s="392">
        <f t="shared" ref="Y83:Z90" si="34">+X83</f>
        <v>793280</v>
      </c>
      <c r="Z83" s="203">
        <f t="shared" si="34"/>
        <v>793280</v>
      </c>
      <c r="AA83" s="203">
        <f t="shared" si="33"/>
        <v>793280</v>
      </c>
      <c r="AB83" s="289">
        <f t="shared" si="33"/>
        <v>793280</v>
      </c>
      <c r="AC83" s="32"/>
      <c r="AD83"/>
      <c r="AE83"/>
    </row>
    <row r="84" spans="2:33" ht="12" customHeight="1" x14ac:dyDescent="0.3">
      <c r="B84" s="195" t="s">
        <v>75</v>
      </c>
      <c r="C84" s="99">
        <v>2145821.02</v>
      </c>
      <c r="D84" s="99">
        <v>2162565.1399999997</v>
      </c>
      <c r="E84" s="99">
        <v>2097865.7400000002</v>
      </c>
      <c r="F84" s="99">
        <v>2080437</v>
      </c>
      <c r="G84" s="101">
        <v>2163492</v>
      </c>
      <c r="H84" s="99">
        <v>2171772</v>
      </c>
      <c r="I84" s="101">
        <v>2163986</v>
      </c>
      <c r="J84" s="120"/>
      <c r="K84" s="101">
        <v>2452784</v>
      </c>
      <c r="L84" s="102">
        <v>2094741</v>
      </c>
      <c r="M84" s="101">
        <v>2094741</v>
      </c>
      <c r="N84" s="110">
        <f t="shared" si="29"/>
        <v>0</v>
      </c>
      <c r="O84" s="50">
        <f t="shared" si="30"/>
        <v>0</v>
      </c>
      <c r="P84" s="103">
        <v>2094741</v>
      </c>
      <c r="Q84" s="202">
        <v>2157761</v>
      </c>
      <c r="R84" s="102">
        <v>2461113</v>
      </c>
      <c r="S84" s="101">
        <v>2767054</v>
      </c>
      <c r="T84" s="101">
        <f>492000+2511444</f>
        <v>3003444</v>
      </c>
      <c r="U84" s="101">
        <v>2572325.3141589998</v>
      </c>
      <c r="V84" s="110">
        <f t="shared" si="31"/>
        <v>-111212.31415899983</v>
      </c>
      <c r="W84" s="126">
        <f t="shared" si="32"/>
        <v>-4.5187813058156952E-2</v>
      </c>
      <c r="X84" s="391">
        <v>2795057</v>
      </c>
      <c r="Y84" s="392">
        <f>+X84</f>
        <v>2795057</v>
      </c>
      <c r="Z84" s="203">
        <f t="shared" si="34"/>
        <v>2795057</v>
      </c>
      <c r="AA84" s="203">
        <f t="shared" si="33"/>
        <v>2795057</v>
      </c>
      <c r="AB84" s="289">
        <f t="shared" si="33"/>
        <v>2795057</v>
      </c>
      <c r="AC84" s="32"/>
      <c r="AD84"/>
      <c r="AE84"/>
    </row>
    <row r="85" spans="2:33" ht="12" customHeight="1" x14ac:dyDescent="0.3">
      <c r="B85" s="195" t="s">
        <v>39</v>
      </c>
      <c r="C85" s="201">
        <v>2236858.4700000002</v>
      </c>
      <c r="D85" s="201">
        <v>2265490.2250000001</v>
      </c>
      <c r="E85" s="201">
        <v>2229687.3200000003</v>
      </c>
      <c r="F85" s="201">
        <v>2531545</v>
      </c>
      <c r="G85" s="101">
        <v>2529502</v>
      </c>
      <c r="H85" s="99">
        <v>2538332</v>
      </c>
      <c r="I85" s="101">
        <f>4886922-I84</f>
        <v>2722936</v>
      </c>
      <c r="J85" s="120"/>
      <c r="K85" s="101">
        <f>2624382+866507</f>
        <v>3490889</v>
      </c>
      <c r="L85" s="102">
        <f>2664013-L75</f>
        <v>2514013</v>
      </c>
      <c r="M85" s="101">
        <v>2464513</v>
      </c>
      <c r="N85" s="110">
        <f t="shared" si="29"/>
        <v>49500</v>
      </c>
      <c r="O85" s="50">
        <f t="shared" si="30"/>
        <v>1.9689635654230906E-2</v>
      </c>
      <c r="P85" s="103">
        <f>2664013-P75-49500</f>
        <v>2464513</v>
      </c>
      <c r="Q85" s="202">
        <v>2515359</v>
      </c>
      <c r="R85" s="102">
        <v>2821374</v>
      </c>
      <c r="S85" s="101">
        <f>3219353+1067376</f>
        <v>4286729</v>
      </c>
      <c r="T85" s="101">
        <f>3723185+1088807</f>
        <v>4811992</v>
      </c>
      <c r="U85" s="101">
        <f>2994982.14908842+606774</f>
        <v>3601756.14908842</v>
      </c>
      <c r="V85" s="110">
        <f t="shared" si="31"/>
        <v>-780382.14908841997</v>
      </c>
      <c r="W85" s="126">
        <f t="shared" si="32"/>
        <v>-0.27659649131537328</v>
      </c>
      <c r="X85" s="391">
        <f>2936144+815543</f>
        <v>3751687</v>
      </c>
      <c r="Y85" s="392">
        <f t="shared" si="34"/>
        <v>3751687</v>
      </c>
      <c r="Z85" s="203">
        <f t="shared" si="34"/>
        <v>3751687</v>
      </c>
      <c r="AA85" s="203">
        <f t="shared" si="33"/>
        <v>3751687</v>
      </c>
      <c r="AB85" s="289">
        <f t="shared" si="33"/>
        <v>3751687</v>
      </c>
      <c r="AC85" s="32"/>
      <c r="AD85"/>
      <c r="AE85"/>
    </row>
    <row r="86" spans="2:33" ht="12" customHeight="1" x14ac:dyDescent="0.3">
      <c r="B86" s="195" t="s">
        <v>73</v>
      </c>
      <c r="C86" s="201">
        <v>2441153.42</v>
      </c>
      <c r="D86" s="201">
        <v>2477397.73</v>
      </c>
      <c r="E86" s="201">
        <v>2191999.3499999996</v>
      </c>
      <c r="F86" s="201">
        <v>2184708</v>
      </c>
      <c r="G86" s="101">
        <v>2582281</v>
      </c>
      <c r="H86" s="99">
        <v>2961306</v>
      </c>
      <c r="I86" s="101">
        <v>2895515</v>
      </c>
      <c r="J86" s="120"/>
      <c r="K86" s="101">
        <v>3243369</v>
      </c>
      <c r="L86" s="102">
        <v>3068117</v>
      </c>
      <c r="M86" s="101">
        <v>3093918</v>
      </c>
      <c r="N86" s="110">
        <f t="shared" si="29"/>
        <v>-25801</v>
      </c>
      <c r="O86" s="50">
        <f t="shared" si="30"/>
        <v>-8.409392471017239E-3</v>
      </c>
      <c r="P86" s="103">
        <f>3068117+25801</f>
        <v>3093918</v>
      </c>
      <c r="Q86" s="202">
        <v>3083793</v>
      </c>
      <c r="R86" s="102">
        <v>3542365</v>
      </c>
      <c r="S86" s="101">
        <v>3448321</v>
      </c>
      <c r="T86" s="101">
        <f>1060110+2546054</f>
        <v>3606164</v>
      </c>
      <c r="U86" s="101">
        <v>3162709</v>
      </c>
      <c r="V86" s="110">
        <f t="shared" si="31"/>
        <v>379656</v>
      </c>
      <c r="W86" s="126">
        <f t="shared" si="32"/>
        <v>0.10717585567833919</v>
      </c>
      <c r="X86" s="391">
        <v>3461276</v>
      </c>
      <c r="Y86" s="392">
        <f>+X86</f>
        <v>3461276</v>
      </c>
      <c r="Z86" s="203">
        <f t="shared" si="34"/>
        <v>3461276</v>
      </c>
      <c r="AA86" s="203">
        <f t="shared" si="33"/>
        <v>3461276</v>
      </c>
      <c r="AB86" s="289">
        <f t="shared" si="33"/>
        <v>3461276</v>
      </c>
      <c r="AC86" s="32"/>
      <c r="AD86"/>
      <c r="AE86"/>
    </row>
    <row r="87" spans="2:33" ht="12" customHeight="1" x14ac:dyDescent="0.3">
      <c r="B87" s="195" t="s">
        <v>42</v>
      </c>
      <c r="C87" s="201">
        <v>1396667.2700000003</v>
      </c>
      <c r="D87" s="201">
        <v>1535611.5649999999</v>
      </c>
      <c r="E87" s="201">
        <v>1415245.7699999996</v>
      </c>
      <c r="F87" s="201">
        <v>1501601</v>
      </c>
      <c r="G87" s="101">
        <v>1507481</v>
      </c>
      <c r="H87" s="99">
        <v>1589752</v>
      </c>
      <c r="I87" s="101">
        <f>1860000-I88</f>
        <v>1610502</v>
      </c>
      <c r="J87" s="120"/>
      <c r="K87" s="101">
        <v>1650284</v>
      </c>
      <c r="L87" s="102">
        <v>1539157</v>
      </c>
      <c r="M87" s="101">
        <v>1609157</v>
      </c>
      <c r="N87" s="110">
        <f t="shared" si="29"/>
        <v>-70000</v>
      </c>
      <c r="O87" s="50">
        <f t="shared" si="30"/>
        <v>-4.5479441018687505E-2</v>
      </c>
      <c r="P87" s="103">
        <f>1539157+70000</f>
        <v>1609157</v>
      </c>
      <c r="Q87" s="202">
        <v>1577339</v>
      </c>
      <c r="R87" s="102">
        <v>1585562</v>
      </c>
      <c r="S87" s="101">
        <v>1610013</v>
      </c>
      <c r="T87" s="101">
        <v>1497562</v>
      </c>
      <c r="U87" s="101">
        <v>1032423</v>
      </c>
      <c r="V87" s="110">
        <f t="shared" si="31"/>
        <v>553139</v>
      </c>
      <c r="W87" s="126">
        <f t="shared" si="32"/>
        <v>0.34885989951827806</v>
      </c>
      <c r="X87" s="391">
        <v>1360343</v>
      </c>
      <c r="Y87" s="392">
        <f t="shared" si="34"/>
        <v>1360343</v>
      </c>
      <c r="Z87" s="203">
        <f t="shared" si="34"/>
        <v>1360343</v>
      </c>
      <c r="AA87" s="203">
        <f t="shared" si="33"/>
        <v>1360343</v>
      </c>
      <c r="AB87" s="289">
        <f t="shared" si="33"/>
        <v>1360343</v>
      </c>
      <c r="AC87" s="32"/>
      <c r="AE87"/>
    </row>
    <row r="88" spans="2:33" ht="12" customHeight="1" x14ac:dyDescent="0.3">
      <c r="B88" s="195" t="s">
        <v>43</v>
      </c>
      <c r="C88" s="201">
        <v>385846.55000000005</v>
      </c>
      <c r="D88" s="201">
        <v>336699.02</v>
      </c>
      <c r="E88" s="201">
        <v>321497.58</v>
      </c>
      <c r="F88" s="201">
        <v>289519</v>
      </c>
      <c r="G88" s="101">
        <v>283861</v>
      </c>
      <c r="H88" s="99">
        <v>334578</v>
      </c>
      <c r="I88" s="101">
        <v>249498</v>
      </c>
      <c r="J88" s="101"/>
      <c r="K88" s="101">
        <v>228443</v>
      </c>
      <c r="L88" s="102">
        <v>279254</v>
      </c>
      <c r="M88" s="101">
        <v>173642</v>
      </c>
      <c r="N88" s="110">
        <f t="shared" si="29"/>
        <v>105612</v>
      </c>
      <c r="O88" s="50">
        <f t="shared" si="30"/>
        <v>0.37819332937039396</v>
      </c>
      <c r="P88" s="103">
        <f>258642+15000-100000</f>
        <v>173642</v>
      </c>
      <c r="Q88" s="202">
        <v>285152</v>
      </c>
      <c r="R88" s="102">
        <v>200239</v>
      </c>
      <c r="S88" s="101">
        <v>167208</v>
      </c>
      <c r="T88" s="101">
        <v>165194</v>
      </c>
      <c r="U88" s="101">
        <f>1539729-1381265</f>
        <v>158464</v>
      </c>
      <c r="V88" s="110">
        <f t="shared" si="31"/>
        <v>41775</v>
      </c>
      <c r="W88" s="126">
        <f t="shared" si="32"/>
        <v>0.20862569229770425</v>
      </c>
      <c r="X88" s="391">
        <f>2568351.6412593-2405720</f>
        <v>162631.64125930006</v>
      </c>
      <c r="Y88" s="392">
        <f t="shared" si="34"/>
        <v>162631.64125930006</v>
      </c>
      <c r="Z88" s="203">
        <f t="shared" si="34"/>
        <v>162631.64125930006</v>
      </c>
      <c r="AA88" s="203">
        <f t="shared" si="33"/>
        <v>162631.64125930006</v>
      </c>
      <c r="AB88" s="289">
        <f t="shared" si="33"/>
        <v>162631.64125930006</v>
      </c>
      <c r="AC88" s="32"/>
      <c r="AD88"/>
      <c r="AE88"/>
    </row>
    <row r="89" spans="2:33" ht="12" customHeight="1" x14ac:dyDescent="0.3">
      <c r="G89" s="32"/>
      <c r="I89" s="101"/>
      <c r="J89" s="101"/>
      <c r="K89" s="101"/>
      <c r="L89" s="102"/>
      <c r="M89" s="101"/>
      <c r="N89" s="110"/>
      <c r="O89" s="50"/>
      <c r="P89" s="103"/>
      <c r="Q89" s="202"/>
      <c r="R89" s="204"/>
      <c r="S89" s="203"/>
      <c r="T89" s="101"/>
      <c r="U89" s="101"/>
      <c r="V89" s="110"/>
      <c r="W89" s="126"/>
      <c r="X89" s="391"/>
      <c r="Y89" s="392"/>
      <c r="Z89" s="203"/>
      <c r="AA89" s="203"/>
      <c r="AB89" s="289"/>
      <c r="AC89" s="32"/>
      <c r="AD89"/>
      <c r="AE89"/>
      <c r="AF89" s="321"/>
      <c r="AG89" s="321"/>
    </row>
    <row r="90" spans="2:33" ht="12" customHeight="1" x14ac:dyDescent="0.3">
      <c r="B90" s="195" t="s">
        <v>63</v>
      </c>
      <c r="C90" s="106">
        <f>1182227+1925202</f>
        <v>3107429</v>
      </c>
      <c r="D90" s="106">
        <f>2583043-110878</f>
        <v>2472165</v>
      </c>
      <c r="E90" s="106">
        <f>3275200-606587</f>
        <v>2668613</v>
      </c>
      <c r="F90" s="106">
        <f>2584465-1</f>
        <v>2584464</v>
      </c>
      <c r="G90" s="106">
        <f>2599815+702</f>
        <v>2600517</v>
      </c>
      <c r="H90" s="106">
        <v>2557126</v>
      </c>
      <c r="I90" s="106">
        <f>2620130+300</f>
        <v>2620430</v>
      </c>
      <c r="J90" s="205"/>
      <c r="K90" s="106">
        <v>2485277.2999999998</v>
      </c>
      <c r="L90" s="108">
        <f>2434281+1-20608</f>
        <v>2413674</v>
      </c>
      <c r="M90" s="106">
        <v>2364888</v>
      </c>
      <c r="N90" s="206">
        <f>+L90-M90</f>
        <v>48786</v>
      </c>
      <c r="O90" s="69">
        <f t="shared" si="30"/>
        <v>2.0212340191757463E-2</v>
      </c>
      <c r="P90" s="109">
        <f>+L90-61754-140000+152968</f>
        <v>2364888</v>
      </c>
      <c r="Q90" s="207">
        <v>2538240</v>
      </c>
      <c r="R90" s="108">
        <v>2451180.9999999995</v>
      </c>
      <c r="S90" s="106">
        <f>3067222+1</f>
        <v>3067223</v>
      </c>
      <c r="T90" s="106">
        <v>3545747</v>
      </c>
      <c r="U90" s="106">
        <f>449482+2+1381265</f>
        <v>1830749</v>
      </c>
      <c r="V90" s="206">
        <f>+R90-U90</f>
        <v>620431.99999999953</v>
      </c>
      <c r="W90" s="253">
        <f t="shared" ref="W90" si="35">+V90/R90</f>
        <v>0.25311553899936384</v>
      </c>
      <c r="X90" s="400">
        <f>1400695+2405720-X79</f>
        <v>2306415</v>
      </c>
      <c r="Y90" s="393">
        <f t="shared" si="34"/>
        <v>2306415</v>
      </c>
      <c r="Z90" s="207">
        <f t="shared" si="34"/>
        <v>2306415</v>
      </c>
      <c r="AA90" s="207">
        <f>+Y90</f>
        <v>2306415</v>
      </c>
      <c r="AB90" s="290">
        <f>+Z90</f>
        <v>2306415</v>
      </c>
      <c r="AC90" s="32"/>
      <c r="AD90"/>
      <c r="AE90"/>
    </row>
    <row r="91" spans="2:33" ht="12" customHeight="1" x14ac:dyDescent="0.3">
      <c r="G91" s="32"/>
      <c r="H91" s="32"/>
      <c r="I91" s="32"/>
      <c r="J91" s="32"/>
      <c r="K91" s="32"/>
      <c r="L91" s="33"/>
      <c r="M91" s="32"/>
      <c r="N91" s="34"/>
      <c r="O91" s="35"/>
      <c r="P91" s="84"/>
      <c r="Q91"/>
      <c r="R91" s="85"/>
      <c r="S91" s="105"/>
      <c r="T91" s="32"/>
      <c r="U91" s="32"/>
      <c r="V91" s="34"/>
      <c r="W91" s="34"/>
      <c r="X91" s="387"/>
      <c r="Y91" s="388"/>
      <c r="Z91" s="32"/>
      <c r="AA91" s="32"/>
      <c r="AB91" s="275"/>
      <c r="AC91" s="32"/>
      <c r="AD91"/>
      <c r="AE91"/>
    </row>
    <row r="92" spans="2:33" ht="12" customHeight="1" thickBot="1" x14ac:dyDescent="0.35">
      <c r="B92" s="2" t="s">
        <v>64</v>
      </c>
      <c r="C92" s="208">
        <f>SUM(C81:C91)</f>
        <v>16505379.84</v>
      </c>
      <c r="D92" s="208">
        <f t="shared" ref="D92:G92" si="36">SUM(D81:D91)</f>
        <v>15832636.379999999</v>
      </c>
      <c r="E92" s="208">
        <f t="shared" si="36"/>
        <v>15522865.939999998</v>
      </c>
      <c r="F92" s="208">
        <f t="shared" si="36"/>
        <v>15740870</v>
      </c>
      <c r="G92" s="208">
        <f t="shared" si="36"/>
        <v>16587889</v>
      </c>
      <c r="H92" s="208">
        <f>SUM(H81:H90)</f>
        <v>17361388</v>
      </c>
      <c r="I92" s="208">
        <f>SUM(I75:I91)</f>
        <v>17179441</v>
      </c>
      <c r="J92" s="208"/>
      <c r="K92" s="208">
        <f>SUM(K75:K91)</f>
        <v>17060915.300000001</v>
      </c>
      <c r="L92" s="209">
        <f>SUM(L75:L91)</f>
        <v>17145710</v>
      </c>
      <c r="M92" s="208">
        <f>SUM(M75:M91)</f>
        <v>16642659</v>
      </c>
      <c r="N92" s="210">
        <f>SUM(N75:N90)</f>
        <v>503051</v>
      </c>
      <c r="O92" s="82">
        <f>+N92/L92</f>
        <v>2.9339759041766132E-2</v>
      </c>
      <c r="P92" s="211">
        <f>SUM(P75:P91)</f>
        <v>16642659</v>
      </c>
      <c r="Q92" s="208">
        <v>17325434</v>
      </c>
      <c r="R92" s="209">
        <f>SUM(R75:R91)</f>
        <v>17723467</v>
      </c>
      <c r="S92" s="208">
        <f>SUM(S75:S91)</f>
        <v>18649767</v>
      </c>
      <c r="T92" s="208">
        <f>SUM(T75:T91)</f>
        <v>20146887</v>
      </c>
      <c r="U92" s="208">
        <f>SUM(U75:U91)</f>
        <v>15330546.46324742</v>
      </c>
      <c r="V92" s="210">
        <f>SUM(V75:V90)</f>
        <v>2392920.5367525797</v>
      </c>
      <c r="W92" s="294">
        <f>+V92/R92</f>
        <v>0.13501424618290428</v>
      </c>
      <c r="X92" s="416">
        <f>SUM(X75:X91)</f>
        <v>18516914.641259298</v>
      </c>
      <c r="Y92" s="417">
        <f>SUM(Y75:Y91)</f>
        <v>19059686.018660605</v>
      </c>
      <c r="Z92" s="208">
        <f>SUM(Z75:Z91)</f>
        <v>19078966.504511252</v>
      </c>
      <c r="AA92" s="208">
        <f>SUM(AA75:AA91)</f>
        <v>19099219.912581258</v>
      </c>
      <c r="AB92" s="291">
        <f>SUM(AB75:AB91)</f>
        <v>19120203.147496916</v>
      </c>
      <c r="AC92" s="32"/>
      <c r="AD92"/>
      <c r="AE92"/>
    </row>
    <row r="93" spans="2:33" ht="12" customHeight="1" thickTop="1" x14ac:dyDescent="0.3">
      <c r="G93" s="32"/>
      <c r="H93" s="32"/>
      <c r="I93" s="32"/>
      <c r="J93" s="32"/>
      <c r="K93" s="32"/>
      <c r="L93" s="33"/>
      <c r="M93" s="32"/>
      <c r="N93" s="34"/>
      <c r="O93" s="35"/>
      <c r="P93" s="84"/>
      <c r="Q93"/>
      <c r="R93" s="85"/>
      <c r="S93" s="105"/>
      <c r="T93" s="32"/>
      <c r="U93" s="32"/>
      <c r="V93" s="34"/>
      <c r="W93" s="34"/>
      <c r="X93" s="387"/>
      <c r="Y93" s="388"/>
      <c r="Z93" s="32"/>
      <c r="AA93" s="32"/>
      <c r="AB93" s="275"/>
      <c r="AC93" s="32"/>
      <c r="AD93"/>
      <c r="AE93"/>
    </row>
    <row r="94" spans="2:33" ht="12" customHeight="1" x14ac:dyDescent="0.3">
      <c r="G94" s="32"/>
      <c r="H94" s="32"/>
      <c r="I94" s="32"/>
      <c r="J94" s="32"/>
      <c r="K94" s="32"/>
      <c r="L94" s="33"/>
      <c r="M94" s="32"/>
      <c r="N94" s="34"/>
      <c r="O94" s="35"/>
      <c r="P94" s="84"/>
      <c r="Q94"/>
      <c r="R94" s="85"/>
      <c r="S94" s="105"/>
      <c r="T94" s="32"/>
      <c r="U94" s="32"/>
      <c r="V94" s="34"/>
      <c r="W94" s="34"/>
      <c r="X94" s="387"/>
      <c r="Y94" s="388"/>
      <c r="Z94" s="32"/>
      <c r="AA94" s="32"/>
      <c r="AB94" s="275"/>
      <c r="AC94" s="32"/>
      <c r="AD94"/>
      <c r="AE94"/>
    </row>
    <row r="95" spans="2:33" ht="22.2" customHeight="1" thickBot="1" x14ac:dyDescent="0.35">
      <c r="B95" s="2" t="s">
        <v>65</v>
      </c>
      <c r="C95" s="213">
        <f>+C73-C92</f>
        <v>-847347.66999999993</v>
      </c>
      <c r="D95" s="213">
        <f>+D73-D92</f>
        <v>780634.62000000104</v>
      </c>
      <c r="E95" s="213">
        <f>+E73-E92</f>
        <v>1207252.9390909113</v>
      </c>
      <c r="F95" s="213">
        <f>+F73-F92</f>
        <v>769040.90909091011</v>
      </c>
      <c r="G95" s="214">
        <f>+G73-G92</f>
        <v>-698137.09090908989</v>
      </c>
      <c r="H95" s="214">
        <f>ROUND(+H73-H92,0)</f>
        <v>391752</v>
      </c>
      <c r="I95" s="214">
        <f>ROUND(+I73-I92,0)</f>
        <v>-1333630</v>
      </c>
      <c r="J95" s="213"/>
      <c r="K95" s="214">
        <f>ROUND(+K73-K92,0)</f>
        <v>-876532</v>
      </c>
      <c r="L95" s="215">
        <f>+L73-L92</f>
        <v>78753</v>
      </c>
      <c r="M95" s="213">
        <f>ROUND(+M73-M92,0)</f>
        <v>133095</v>
      </c>
      <c r="N95" s="213">
        <f>+N73+N92</f>
        <v>54342</v>
      </c>
      <c r="O95" s="358">
        <f>+N95/L95</f>
        <v>0.69003085596739167</v>
      </c>
      <c r="P95" s="217">
        <f>+P73-P92</f>
        <v>133095</v>
      </c>
      <c r="Q95" s="213">
        <v>147867.21200000122</v>
      </c>
      <c r="R95" s="218">
        <f>+R73-R92</f>
        <v>-1887817</v>
      </c>
      <c r="S95" s="214">
        <f>ROUND(+S73-S92,0)</f>
        <v>-4186994</v>
      </c>
      <c r="T95" s="214">
        <f>+T73-T92</f>
        <v>-10220271.218480904</v>
      </c>
      <c r="U95" s="213">
        <f>+U73-U92</f>
        <v>215971.00991216488</v>
      </c>
      <c r="V95" s="214">
        <f>+V73+V92</f>
        <v>-396211.99008783605</v>
      </c>
      <c r="W95" s="214">
        <f>+V95/R95</f>
        <v>0.2098783886827145</v>
      </c>
      <c r="X95" s="418">
        <f>+X73-X92</f>
        <v>-1687291.4587677829</v>
      </c>
      <c r="Y95" s="214">
        <f>+Y73-Y92</f>
        <v>-1454122.3252305277</v>
      </c>
      <c r="Z95" s="208">
        <f>+Z73-Z92</f>
        <v>53462.628990557045</v>
      </c>
      <c r="AA95" s="208">
        <f>+AA73-AA92</f>
        <v>1431979.7106841542</v>
      </c>
      <c r="AB95" s="291">
        <f>+AB73-AB92</f>
        <v>2883347.4801234119</v>
      </c>
      <c r="AC95" s="32"/>
      <c r="AD95"/>
      <c r="AE95"/>
      <c r="AF95" s="219"/>
    </row>
    <row r="96" spans="2:33" ht="12" customHeight="1" thickTop="1" x14ac:dyDescent="0.3">
      <c r="C96" s="191"/>
      <c r="D96" s="191"/>
      <c r="E96" s="191"/>
      <c r="F96" s="191"/>
      <c r="G96" s="191"/>
      <c r="H96" s="96"/>
      <c r="I96" s="191"/>
      <c r="J96" s="191"/>
      <c r="K96" s="191"/>
      <c r="L96" s="220"/>
      <c r="M96" s="191"/>
      <c r="N96" s="221"/>
      <c r="O96" s="50"/>
      <c r="P96" s="222"/>
      <c r="Q96" s="191"/>
      <c r="R96" s="220"/>
      <c r="S96" s="191"/>
      <c r="T96" s="191"/>
      <c r="U96" s="191"/>
      <c r="V96" s="221"/>
      <c r="W96" s="126"/>
      <c r="X96" s="338"/>
      <c r="Y96" s="191"/>
      <c r="Z96" s="191"/>
      <c r="AA96" s="191"/>
      <c r="AB96" s="191"/>
      <c r="AC96" s="191"/>
      <c r="AD96"/>
      <c r="AE96"/>
      <c r="AF96" s="219"/>
    </row>
    <row r="97" spans="2:32" ht="12" hidden="1" customHeight="1" x14ac:dyDescent="0.3">
      <c r="B97" s="2" t="s">
        <v>66</v>
      </c>
      <c r="C97" s="191"/>
      <c r="D97" s="191"/>
      <c r="E97" s="191"/>
      <c r="F97" s="191"/>
      <c r="G97" s="191"/>
      <c r="H97" s="96"/>
      <c r="I97" s="191"/>
      <c r="J97" s="191"/>
      <c r="K97" s="191"/>
      <c r="L97" s="220"/>
      <c r="M97" s="191"/>
      <c r="N97" s="221"/>
      <c r="O97" s="50"/>
      <c r="P97" s="222"/>
      <c r="Q97" s="191"/>
      <c r="R97" s="220">
        <f>IF(R95&lt;0,-R95)</f>
        <v>1887817</v>
      </c>
      <c r="S97" s="191"/>
      <c r="T97" s="191">
        <f>IF(T95&lt;0,-T95)</f>
        <v>10220271.218480904</v>
      </c>
      <c r="U97" s="191" t="b">
        <f>IF(U95&lt;0,-U95)</f>
        <v>0</v>
      </c>
      <c r="V97" s="221"/>
      <c r="W97" s="126"/>
      <c r="X97" s="220">
        <f>IF(X95&lt;0,-X95)</f>
        <v>1687291.4587677829</v>
      </c>
      <c r="Y97" s="191">
        <f>IF(Y95&lt;0,-Y95)</f>
        <v>1454122.3252305277</v>
      </c>
      <c r="Z97" s="191">
        <f>IF(Z95&lt;0,-Z95,0)</f>
        <v>0</v>
      </c>
      <c r="AA97" s="191">
        <f>IF(AA95&lt;0,-AA95,0)</f>
        <v>0</v>
      </c>
      <c r="AB97" s="292">
        <f>IF(AB95&lt;0,-AB95,0)</f>
        <v>0</v>
      </c>
      <c r="AC97" s="32"/>
      <c r="AD97"/>
      <c r="AE97"/>
      <c r="AF97" s="219"/>
    </row>
    <row r="98" spans="2:32" ht="12" hidden="1" customHeight="1" x14ac:dyDescent="0.3">
      <c r="C98" s="191"/>
      <c r="D98" s="191"/>
      <c r="E98" s="191"/>
      <c r="F98" s="191"/>
      <c r="G98" s="191"/>
      <c r="H98" s="96"/>
      <c r="I98" s="191"/>
      <c r="J98" s="191"/>
      <c r="K98" s="191"/>
      <c r="L98" s="220"/>
      <c r="M98" s="191"/>
      <c r="N98" s="221"/>
      <c r="O98" s="50"/>
      <c r="P98" s="222"/>
      <c r="Q98" s="191"/>
      <c r="R98" s="220"/>
      <c r="S98" s="191"/>
      <c r="T98" s="191"/>
      <c r="U98" s="191"/>
      <c r="V98" s="221"/>
      <c r="W98" s="126"/>
      <c r="X98" s="220"/>
      <c r="Y98" s="191"/>
      <c r="Z98" s="191"/>
      <c r="AA98" s="191"/>
      <c r="AB98" s="292"/>
      <c r="AC98" s="32"/>
      <c r="AD98"/>
      <c r="AE98"/>
      <c r="AF98" s="219"/>
    </row>
    <row r="99" spans="2:32" ht="12" hidden="1" customHeight="1" x14ac:dyDescent="0.3">
      <c r="B99" s="2" t="s">
        <v>67</v>
      </c>
      <c r="C99" s="191"/>
      <c r="D99" s="191"/>
      <c r="E99" s="191"/>
      <c r="F99" s="191"/>
      <c r="G99" s="191"/>
      <c r="H99" s="96"/>
      <c r="I99" s="191"/>
      <c r="J99" s="191"/>
      <c r="K99" s="191"/>
      <c r="L99" s="223"/>
      <c r="M99" s="224"/>
      <c r="N99" s="225"/>
      <c r="O99" s="226"/>
      <c r="P99" s="227"/>
      <c r="Q99" s="224"/>
      <c r="R99" s="228">
        <f>R95+R97</f>
        <v>0</v>
      </c>
      <c r="S99" s="191"/>
      <c r="T99" s="224">
        <f>T95+T97</f>
        <v>0</v>
      </c>
      <c r="U99" s="224">
        <f>U95+U97</f>
        <v>215971.00991216488</v>
      </c>
      <c r="V99" s="230"/>
      <c r="W99" s="297"/>
      <c r="X99" s="228">
        <f t="shared" ref="X99:AB99" si="37">X95+X97</f>
        <v>0</v>
      </c>
      <c r="Y99" s="229">
        <f t="shared" si="37"/>
        <v>0</v>
      </c>
      <c r="Z99" s="229">
        <f t="shared" si="37"/>
        <v>53462.628990557045</v>
      </c>
      <c r="AA99" s="229">
        <f t="shared" si="37"/>
        <v>1431979.7106841542</v>
      </c>
      <c r="AB99" s="293">
        <f t="shared" si="37"/>
        <v>2883347.4801234119</v>
      </c>
      <c r="AC99" s="32"/>
      <c r="AD99"/>
      <c r="AE99"/>
      <c r="AF99" s="219"/>
    </row>
    <row r="100" spans="2:32" ht="12" hidden="1" customHeight="1" x14ac:dyDescent="0.25">
      <c r="C100" s="191"/>
      <c r="D100" s="191"/>
      <c r="E100" s="191"/>
      <c r="F100" s="191"/>
      <c r="G100" s="191"/>
      <c r="H100" s="96"/>
      <c r="I100" s="191"/>
      <c r="J100" s="191"/>
      <c r="K100" s="191"/>
      <c r="L100" s="220"/>
      <c r="M100" s="191"/>
      <c r="N100" s="221"/>
      <c r="O100" s="50"/>
      <c r="P100" s="222"/>
      <c r="Q100" s="191"/>
      <c r="R100" s="220"/>
      <c r="S100" s="191"/>
      <c r="T100" s="191"/>
      <c r="U100" s="191"/>
      <c r="V100" s="221"/>
      <c r="W100" s="50"/>
      <c r="X100" s="191"/>
      <c r="Y100" s="191"/>
      <c r="Z100" s="191"/>
      <c r="AA100" s="191"/>
      <c r="AB100" s="191"/>
      <c r="AC100" s="39"/>
      <c r="AF100" s="219"/>
    </row>
    <row r="101" spans="2:32" ht="12" hidden="1" customHeight="1" x14ac:dyDescent="0.25">
      <c r="C101" s="191"/>
      <c r="D101" s="191"/>
      <c r="E101" s="191"/>
      <c r="F101" s="191"/>
      <c r="G101" s="191"/>
      <c r="H101" s="96"/>
      <c r="I101" s="191"/>
      <c r="J101" s="191"/>
      <c r="K101" s="191"/>
      <c r="L101" s="220"/>
      <c r="M101" s="191"/>
      <c r="N101" s="221"/>
      <c r="O101" s="50"/>
      <c r="P101" s="222"/>
      <c r="Q101" s="191"/>
      <c r="R101" s="220"/>
      <c r="S101" s="191"/>
      <c r="T101" s="191"/>
      <c r="U101" s="191"/>
      <c r="V101" s="221"/>
      <c r="W101" s="50"/>
      <c r="X101" s="191"/>
      <c r="Y101" s="191"/>
      <c r="Z101" s="191"/>
      <c r="AA101" s="191"/>
      <c r="AB101" s="191"/>
      <c r="AC101" s="39"/>
      <c r="AF101" s="219"/>
    </row>
    <row r="102" spans="2:32" ht="12" hidden="1" customHeight="1" x14ac:dyDescent="0.25">
      <c r="C102" s="191"/>
      <c r="D102" s="191"/>
      <c r="E102" s="191"/>
      <c r="F102" s="191"/>
      <c r="G102" s="191"/>
      <c r="H102" s="96"/>
      <c r="I102" s="191"/>
      <c r="J102" s="191"/>
      <c r="K102" s="191"/>
      <c r="L102" s="220"/>
      <c r="M102" s="191"/>
      <c r="N102" s="221"/>
      <c r="O102" s="50"/>
      <c r="P102" s="222"/>
      <c r="Q102" s="191"/>
      <c r="R102" s="220"/>
      <c r="S102" s="191"/>
      <c r="T102" s="191"/>
      <c r="U102" s="191"/>
      <c r="V102" s="221"/>
      <c r="W102" s="50"/>
      <c r="X102" s="191"/>
      <c r="Y102" s="191"/>
      <c r="Z102" s="191"/>
      <c r="AA102" s="191"/>
      <c r="AB102" s="191"/>
      <c r="AC102" s="39"/>
      <c r="AF102" s="219"/>
    </row>
    <row r="103" spans="2:32" ht="12" hidden="1" customHeight="1" x14ac:dyDescent="0.25">
      <c r="C103" s="191"/>
      <c r="D103" s="191"/>
      <c r="E103" s="191"/>
      <c r="F103" s="191"/>
      <c r="G103" s="191"/>
      <c r="H103" s="96"/>
      <c r="I103" s="191"/>
      <c r="J103" s="191"/>
      <c r="K103" s="191"/>
      <c r="L103" s="220"/>
      <c r="M103" s="191"/>
      <c r="N103" s="221"/>
      <c r="O103" s="50"/>
      <c r="P103" s="222"/>
      <c r="Q103" s="191"/>
      <c r="R103" s="220"/>
      <c r="S103" s="191"/>
      <c r="T103" s="191"/>
      <c r="U103" s="191"/>
      <c r="V103" s="221"/>
      <c r="W103" s="50"/>
      <c r="X103" s="191"/>
      <c r="Y103" s="191"/>
      <c r="Z103" s="191"/>
      <c r="AA103" s="191"/>
      <c r="AB103" s="191"/>
      <c r="AC103" s="39"/>
      <c r="AF103" s="219"/>
    </row>
    <row r="104" spans="2:32" ht="12" hidden="1" customHeight="1" x14ac:dyDescent="0.25">
      <c r="C104" s="191"/>
      <c r="D104" s="191"/>
      <c r="E104" s="191"/>
      <c r="F104" s="191"/>
      <c r="G104" s="191"/>
      <c r="H104" s="96"/>
      <c r="I104" s="191"/>
      <c r="J104" s="191"/>
      <c r="K104" s="191"/>
      <c r="L104" s="220"/>
      <c r="M104" s="191"/>
      <c r="N104" s="221"/>
      <c r="O104" s="50"/>
      <c r="P104" s="222"/>
      <c r="Q104" s="191"/>
      <c r="R104" s="220"/>
      <c r="S104" s="191"/>
      <c r="T104" s="191"/>
      <c r="U104" s="191"/>
      <c r="V104" s="221"/>
      <c r="W104" s="50"/>
      <c r="X104" s="191"/>
      <c r="Y104" s="191"/>
      <c r="Z104" s="191"/>
      <c r="AA104" s="191"/>
      <c r="AB104" s="191"/>
      <c r="AC104" s="39"/>
      <c r="AF104" s="219"/>
    </row>
    <row r="105" spans="2:32" ht="12" hidden="1" customHeight="1" x14ac:dyDescent="0.25">
      <c r="C105" s="191"/>
      <c r="D105" s="191"/>
      <c r="E105" s="191"/>
      <c r="F105" s="191"/>
      <c r="G105" s="191"/>
      <c r="H105" s="96"/>
      <c r="I105" s="191"/>
      <c r="J105" s="191"/>
      <c r="K105" s="191"/>
      <c r="L105" s="220"/>
      <c r="M105" s="191"/>
      <c r="N105" s="221"/>
      <c r="O105" s="50"/>
      <c r="P105" s="222"/>
      <c r="Q105" s="191"/>
      <c r="R105" s="220"/>
      <c r="S105" s="191"/>
      <c r="T105" s="191"/>
      <c r="U105" s="191"/>
      <c r="V105" s="221"/>
      <c r="W105" s="50"/>
      <c r="X105" s="191"/>
      <c r="Y105" s="191"/>
      <c r="Z105" s="191"/>
      <c r="AA105" s="191"/>
      <c r="AB105" s="191"/>
      <c r="AC105" s="39"/>
      <c r="AF105" s="219"/>
    </row>
    <row r="106" spans="2:32" ht="12" hidden="1" customHeight="1" x14ac:dyDescent="0.25">
      <c r="C106" s="191"/>
      <c r="D106" s="191"/>
      <c r="E106" s="191"/>
      <c r="F106" s="191"/>
      <c r="G106" s="191"/>
      <c r="H106" s="96"/>
      <c r="I106" s="191"/>
      <c r="J106" s="191"/>
      <c r="K106" s="191"/>
      <c r="L106" s="220"/>
      <c r="M106" s="191"/>
      <c r="N106" s="221"/>
      <c r="O106" s="50"/>
      <c r="P106" s="222"/>
      <c r="Q106" s="191"/>
      <c r="R106" s="220"/>
      <c r="S106" s="191"/>
      <c r="T106" s="191"/>
      <c r="U106" s="191"/>
      <c r="V106" s="221"/>
      <c r="W106" s="50"/>
      <c r="X106" s="191"/>
      <c r="Y106" s="191"/>
      <c r="Z106" s="191"/>
      <c r="AA106" s="191"/>
      <c r="AB106" s="191"/>
      <c r="AC106" s="39"/>
      <c r="AF106" s="219"/>
    </row>
    <row r="107" spans="2:32" ht="12" hidden="1" customHeight="1" x14ac:dyDescent="0.25">
      <c r="C107" s="191"/>
      <c r="D107" s="191"/>
      <c r="E107" s="191"/>
      <c r="F107" s="191"/>
      <c r="G107" s="191"/>
      <c r="H107" s="96"/>
      <c r="I107" s="191"/>
      <c r="J107" s="191"/>
      <c r="K107" s="191"/>
      <c r="L107" s="220"/>
      <c r="M107" s="191"/>
      <c r="N107" s="221"/>
      <c r="O107" s="50"/>
      <c r="P107" s="222"/>
      <c r="Q107" s="191"/>
      <c r="R107" s="220"/>
      <c r="S107" s="191"/>
      <c r="T107" s="191"/>
      <c r="U107" s="191"/>
      <c r="V107" s="221"/>
      <c r="W107" s="50"/>
      <c r="X107" s="191"/>
      <c r="Y107" s="191"/>
      <c r="Z107" s="191"/>
      <c r="AA107" s="191"/>
      <c r="AB107" s="191"/>
      <c r="AC107" s="39"/>
      <c r="AF107" s="219"/>
    </row>
    <row r="108" spans="2:32" ht="12" hidden="1" customHeight="1" x14ac:dyDescent="0.25">
      <c r="C108" s="191"/>
      <c r="D108" s="191"/>
      <c r="E108" s="191"/>
      <c r="F108" s="191"/>
      <c r="G108" s="191"/>
      <c r="H108" s="96"/>
      <c r="I108" s="191"/>
      <c r="J108" s="191"/>
      <c r="K108" s="191"/>
      <c r="L108" s="220"/>
      <c r="M108" s="191"/>
      <c r="N108" s="221"/>
      <c r="O108" s="50"/>
      <c r="P108" s="222"/>
      <c r="Q108" s="191"/>
      <c r="R108" s="220"/>
      <c r="S108" s="191"/>
      <c r="T108" s="191"/>
      <c r="U108" s="191"/>
      <c r="V108" s="221"/>
      <c r="W108" s="50"/>
      <c r="X108" s="191"/>
      <c r="Y108" s="191"/>
      <c r="Z108" s="191"/>
      <c r="AA108" s="191"/>
      <c r="AB108" s="191"/>
      <c r="AC108" s="39"/>
      <c r="AF108" s="219"/>
    </row>
    <row r="109" spans="2:32" ht="12" hidden="1" customHeight="1" x14ac:dyDescent="0.25">
      <c r="C109" s="191"/>
      <c r="D109" s="191"/>
      <c r="E109" s="191"/>
      <c r="F109" s="191"/>
      <c r="G109" s="191"/>
      <c r="H109" s="96"/>
      <c r="I109" s="191"/>
      <c r="J109" s="191"/>
      <c r="K109" s="191"/>
      <c r="L109" s="220"/>
      <c r="M109" s="191"/>
      <c r="N109" s="221"/>
      <c r="O109" s="50"/>
      <c r="P109" s="222"/>
      <c r="Q109" s="191"/>
      <c r="R109" s="220"/>
      <c r="S109" s="191"/>
      <c r="T109" s="191"/>
      <c r="U109" s="191"/>
      <c r="V109" s="221"/>
      <c r="W109" s="50"/>
      <c r="X109" s="191"/>
      <c r="Y109" s="191"/>
      <c r="Z109" s="191"/>
      <c r="AA109" s="191"/>
      <c r="AB109" s="191"/>
      <c r="AC109" s="39"/>
      <c r="AF109" s="219"/>
    </row>
    <row r="110" spans="2:32" ht="12" hidden="1" customHeight="1" x14ac:dyDescent="0.25">
      <c r="C110" s="191"/>
      <c r="D110" s="191"/>
      <c r="E110" s="191"/>
      <c r="F110" s="191"/>
      <c r="G110" s="191"/>
      <c r="H110" s="96"/>
      <c r="I110" s="191"/>
      <c r="J110" s="191"/>
      <c r="K110" s="191"/>
      <c r="L110" s="220"/>
      <c r="M110" s="191"/>
      <c r="N110" s="221"/>
      <c r="O110" s="50"/>
      <c r="P110" s="222"/>
      <c r="Q110" s="191"/>
      <c r="R110" s="220"/>
      <c r="S110" s="191"/>
      <c r="T110" s="191"/>
      <c r="U110" s="191"/>
      <c r="V110" s="221"/>
      <c r="W110" s="50"/>
      <c r="X110" s="191"/>
      <c r="Y110" s="191"/>
      <c r="Z110" s="191"/>
      <c r="AA110" s="191"/>
      <c r="AB110" s="191"/>
      <c r="AC110" s="39"/>
      <c r="AF110" s="219"/>
    </row>
    <row r="111" spans="2:32" ht="12" hidden="1" customHeight="1" x14ac:dyDescent="0.25">
      <c r="C111" s="191"/>
      <c r="D111" s="191"/>
      <c r="E111" s="191"/>
      <c r="F111" s="191"/>
      <c r="G111" s="191"/>
      <c r="H111" s="96"/>
      <c r="I111" s="191"/>
      <c r="J111" s="191"/>
      <c r="K111" s="191"/>
      <c r="L111" s="220"/>
      <c r="M111" s="191"/>
      <c r="N111" s="221"/>
      <c r="O111" s="50"/>
      <c r="P111" s="222"/>
      <c r="Q111" s="191"/>
      <c r="R111" s="220"/>
      <c r="S111" s="191"/>
      <c r="T111" s="191"/>
      <c r="U111" s="191"/>
      <c r="V111" s="221"/>
      <c r="W111" s="50"/>
      <c r="X111" s="191"/>
      <c r="Y111" s="191"/>
      <c r="Z111" s="191"/>
      <c r="AA111" s="191"/>
      <c r="AB111" s="191"/>
      <c r="AC111" s="39"/>
      <c r="AF111" s="219"/>
    </row>
    <row r="112" spans="2:32" ht="12" hidden="1" customHeight="1" x14ac:dyDescent="0.3">
      <c r="C112" s="191"/>
      <c r="D112" s="191"/>
      <c r="E112" s="191"/>
      <c r="F112" s="191"/>
      <c r="G112" s="191"/>
      <c r="H112" s="96"/>
      <c r="I112" s="191"/>
      <c r="J112" s="191"/>
      <c r="K112" s="191"/>
      <c r="L112" s="33"/>
      <c r="M112" s="32"/>
      <c r="N112" s="105"/>
      <c r="O112" s="231"/>
      <c r="P112" s="222"/>
      <c r="Q112" s="191"/>
      <c r="R112" s="220"/>
      <c r="S112" s="191"/>
      <c r="T112" s="191"/>
      <c r="U112" s="191"/>
      <c r="V112" s="105"/>
      <c r="W112" s="231"/>
      <c r="X112" s="191"/>
      <c r="Y112" s="191"/>
      <c r="Z112" s="191"/>
      <c r="AA112" s="191"/>
      <c r="AB112" s="191"/>
      <c r="AC112" s="39"/>
      <c r="AF112" s="219"/>
    </row>
    <row r="113" spans="2:32" ht="12" hidden="1" customHeight="1" x14ac:dyDescent="0.3">
      <c r="B113" s="2" t="s">
        <v>68</v>
      </c>
      <c r="C113" s="106">
        <v>334878.98</v>
      </c>
      <c r="D113" s="106">
        <v>669757</v>
      </c>
      <c r="E113" s="106">
        <v>600665.90909090906</v>
      </c>
      <c r="F113" s="106">
        <v>360165.90909090906</v>
      </c>
      <c r="G113" s="106">
        <v>360165.90909090906</v>
      </c>
      <c r="H113" s="106">
        <v>360165.90909090906</v>
      </c>
      <c r="I113" s="106">
        <v>360165.90909090906</v>
      </c>
      <c r="J113"/>
      <c r="K113"/>
      <c r="L113" s="108">
        <v>360166</v>
      </c>
      <c r="M113" s="106">
        <v>360166</v>
      </c>
      <c r="N113" s="105"/>
      <c r="O113" s="231"/>
      <c r="P113" s="222"/>
      <c r="Q113" s="191"/>
      <c r="R113" s="108">
        <v>360166</v>
      </c>
      <c r="S113" s="101"/>
      <c r="T113" s="191">
        <v>264284</v>
      </c>
      <c r="U113" s="191">
        <v>168400</v>
      </c>
      <c r="V113" s="105"/>
      <c r="W113" s="231"/>
      <c r="X113" s="191"/>
      <c r="Y113" s="191"/>
      <c r="Z113" s="191"/>
      <c r="AA113" s="191"/>
      <c r="AB113" s="191"/>
      <c r="AC113" s="39"/>
      <c r="AF113" s="219"/>
    </row>
    <row r="114" spans="2:32" ht="12" hidden="1" customHeight="1" x14ac:dyDescent="0.3">
      <c r="B114" s="136"/>
      <c r="C114" s="32"/>
      <c r="D114" s="232"/>
      <c r="E114" s="32"/>
      <c r="F114"/>
      <c r="G114"/>
      <c r="H114"/>
      <c r="I114"/>
      <c r="J114"/>
      <c r="K114"/>
      <c r="L114" s="85"/>
      <c r="M114" s="233"/>
      <c r="N114" s="105"/>
      <c r="O114" s="231"/>
      <c r="P114" s="222"/>
      <c r="Q114" s="191"/>
      <c r="R114" s="85"/>
      <c r="S114" s="105"/>
      <c r="T114" s="191"/>
      <c r="U114" s="191"/>
      <c r="V114" s="105"/>
      <c r="W114" s="231"/>
      <c r="X114" s="191"/>
      <c r="Y114" s="191"/>
      <c r="Z114" s="191"/>
      <c r="AA114" s="191"/>
      <c r="AB114" s="191"/>
      <c r="AC114" s="39"/>
      <c r="AF114" s="219"/>
    </row>
    <row r="115" spans="2:32" ht="12" hidden="1" customHeight="1" x14ac:dyDescent="0.3">
      <c r="B115" s="136"/>
      <c r="C115" s="32"/>
      <c r="D115" s="234"/>
      <c r="E115" s="32"/>
      <c r="F115" s="208">
        <f>+F95-F113</f>
        <v>408875.00000000105</v>
      </c>
      <c r="G115" s="208">
        <f>+G95-G113</f>
        <v>-1058302.9999999991</v>
      </c>
      <c r="H115" s="208">
        <f>+H95-H113</f>
        <v>31586.090909090941</v>
      </c>
      <c r="I115" s="208">
        <f>+I95-I113</f>
        <v>-1693795.9090909092</v>
      </c>
      <c r="J115"/>
      <c r="K115"/>
      <c r="L115" s="235">
        <f>+L95-L113</f>
        <v>-281413</v>
      </c>
      <c r="M115" s="236">
        <f>+M95-M113</f>
        <v>-227071</v>
      </c>
      <c r="N115" s="237"/>
      <c r="O115" s="238"/>
      <c r="P115" s="222"/>
      <c r="Q115" s="191"/>
      <c r="R115" s="235">
        <f>+R95-R113</f>
        <v>-2247983</v>
      </c>
      <c r="S115" s="236"/>
      <c r="T115" s="239"/>
      <c r="U115" s="239"/>
      <c r="V115" s="237"/>
      <c r="W115" s="238"/>
      <c r="X115" s="191"/>
      <c r="Y115" s="191"/>
      <c r="Z115" s="191"/>
      <c r="AA115" s="191"/>
      <c r="AB115" s="191"/>
      <c r="AC115" s="39"/>
      <c r="AF115" s="219"/>
    </row>
    <row r="116" spans="2:32" ht="12" hidden="1" customHeight="1" x14ac:dyDescent="0.3">
      <c r="B116" s="136"/>
      <c r="C116" s="32"/>
      <c r="D116" s="234"/>
      <c r="E116" s="32"/>
      <c r="F116" s="32"/>
      <c r="G116" s="96"/>
      <c r="H116" s="32"/>
      <c r="I116"/>
      <c r="J116"/>
      <c r="K116"/>
      <c r="L116"/>
      <c r="M116"/>
      <c r="N116"/>
      <c r="O116"/>
      <c r="P116" s="222"/>
      <c r="Q116" s="191"/>
      <c r="R116" s="191"/>
      <c r="S116" s="191"/>
      <c r="T116" s="191"/>
      <c r="U116" s="191"/>
      <c r="V116" s="191"/>
      <c r="W116" s="191"/>
      <c r="X116" s="191"/>
      <c r="Y116" s="191"/>
      <c r="Z116" s="39"/>
      <c r="AA116" s="32"/>
      <c r="AD116" s="219"/>
    </row>
    <row r="117" spans="2:32" ht="12" hidden="1" customHeight="1" x14ac:dyDescent="0.3">
      <c r="B117" s="136"/>
      <c r="C117" s="32"/>
      <c r="D117" s="234"/>
      <c r="E117" s="32"/>
      <c r="F117" s="32"/>
      <c r="G117" s="240"/>
      <c r="H117" s="32"/>
      <c r="I117"/>
      <c r="J117"/>
      <c r="K117"/>
      <c r="L117"/>
      <c r="M117"/>
      <c r="N117"/>
      <c r="O117"/>
      <c r="P117" s="222"/>
      <c r="Q117" s="191"/>
      <c r="R117" s="191"/>
      <c r="S117" s="191"/>
      <c r="T117" s="191"/>
      <c r="U117" s="191"/>
      <c r="V117" s="191"/>
      <c r="W117" s="191"/>
      <c r="X117" s="191"/>
      <c r="Y117" s="191"/>
      <c r="Z117" s="39"/>
      <c r="AA117" s="32"/>
      <c r="AD117" s="219"/>
    </row>
    <row r="118" spans="2:32" ht="12" hidden="1" customHeight="1" x14ac:dyDescent="0.3">
      <c r="B118" s="136"/>
      <c r="C118" s="32"/>
      <c r="D118" s="32"/>
      <c r="E118" s="32"/>
      <c r="F118" s="32"/>
      <c r="G118" s="101"/>
      <c r="H118" s="32"/>
      <c r="I118"/>
      <c r="J118"/>
      <c r="K118"/>
      <c r="L118"/>
      <c r="M118"/>
      <c r="N118"/>
      <c r="O118"/>
      <c r="P118" s="222"/>
      <c r="Q118" s="191"/>
      <c r="R118" s="191"/>
      <c r="S118" s="191"/>
      <c r="T118" s="191"/>
      <c r="U118" s="191"/>
      <c r="V118" s="191"/>
      <c r="W118" s="191"/>
      <c r="X118" s="191"/>
      <c r="Y118" s="191"/>
      <c r="Z118" s="39"/>
      <c r="AA118" s="32"/>
      <c r="AD118" s="219"/>
    </row>
    <row r="119" spans="2:32" ht="12" hidden="1" customHeight="1" x14ac:dyDescent="0.3">
      <c r="B119" s="136"/>
      <c r="C119" s="32"/>
      <c r="D119" s="32"/>
      <c r="E119" s="32"/>
      <c r="F119" s="32"/>
      <c r="G119" s="32"/>
      <c r="H119" s="32"/>
      <c r="I119"/>
      <c r="J119"/>
      <c r="K119"/>
      <c r="L119"/>
      <c r="M119"/>
      <c r="N119"/>
      <c r="O119"/>
      <c r="P119" s="222"/>
      <c r="Q119" s="191"/>
      <c r="R119" s="191"/>
      <c r="S119" s="191"/>
      <c r="T119" s="191"/>
      <c r="U119" s="191"/>
      <c r="V119" s="191"/>
      <c r="W119" s="191"/>
      <c r="X119" s="191"/>
      <c r="Y119" s="191"/>
      <c r="Z119" s="39"/>
      <c r="AA119" s="32"/>
      <c r="AD119" s="219"/>
    </row>
    <row r="120" spans="2:32" ht="12" hidden="1" customHeight="1" x14ac:dyDescent="0.3">
      <c r="B120" s="136"/>
      <c r="C120" s="32"/>
      <c r="D120" s="32"/>
      <c r="E120" s="32"/>
      <c r="F120" s="32"/>
      <c r="G120" s="101"/>
      <c r="H120" s="32"/>
      <c r="I120"/>
      <c r="J120"/>
      <c r="K120"/>
      <c r="L120"/>
      <c r="M120"/>
      <c r="N120"/>
      <c r="O120"/>
      <c r="P120" s="193"/>
      <c r="Q120" s="22"/>
      <c r="R120" s="22"/>
      <c r="S120" s="22"/>
      <c r="T120" s="22"/>
      <c r="U120" s="22"/>
      <c r="V120" s="22"/>
      <c r="W120" s="22"/>
      <c r="X120" s="22"/>
      <c r="Y120" s="22"/>
      <c r="Z120" s="39"/>
      <c r="AA120" s="32"/>
    </row>
    <row r="121" spans="2:32" ht="12" hidden="1" customHeight="1" x14ac:dyDescent="0.3">
      <c r="B121" s="136"/>
      <c r="C121" s="32"/>
      <c r="D121" s="32"/>
      <c r="E121" s="101"/>
      <c r="F121" s="101"/>
      <c r="G121" s="32"/>
      <c r="H121" s="32"/>
      <c r="I121"/>
      <c r="J121"/>
      <c r="K121"/>
      <c r="L121"/>
      <c r="M121"/>
      <c r="N121"/>
      <c r="O121" s="25"/>
      <c r="P121" s="193"/>
      <c r="Q121" s="22"/>
      <c r="R121" s="22"/>
      <c r="S121" s="22"/>
      <c r="T121" s="241">
        <f>-T95</f>
        <v>10220271.218480904</v>
      </c>
      <c r="U121" s="241">
        <f>-U95</f>
        <v>-215971.00991216488</v>
      </c>
      <c r="V121" s="241"/>
      <c r="W121" s="241"/>
      <c r="X121" s="22"/>
      <c r="Y121" s="22"/>
      <c r="Z121" s="39"/>
      <c r="AA121" s="32"/>
    </row>
    <row r="122" spans="2:32" ht="12" hidden="1" customHeight="1" x14ac:dyDescent="0.3">
      <c r="B122" s="136"/>
      <c r="C122" s="32"/>
      <c r="D122" s="32"/>
      <c r="E122" s="101"/>
      <c r="F122" s="101"/>
      <c r="G122" s="32"/>
      <c r="H122" s="32"/>
      <c r="I122"/>
      <c r="J122"/>
      <c r="K122"/>
      <c r="L122"/>
      <c r="M122"/>
      <c r="N122"/>
      <c r="O122" s="25"/>
      <c r="P122" s="193"/>
      <c r="Q122" s="22"/>
      <c r="R122" s="22"/>
      <c r="S122" s="22"/>
      <c r="T122" s="22"/>
      <c r="U122" s="22"/>
      <c r="V122" s="22"/>
      <c r="W122" s="22"/>
      <c r="X122" s="22"/>
      <c r="Y122" s="22"/>
      <c r="Z122" s="39"/>
      <c r="AA122" s="32"/>
    </row>
    <row r="123" spans="2:32" ht="12" hidden="1" customHeight="1" x14ac:dyDescent="0.3">
      <c r="B123" s="136"/>
      <c r="C123" s="32"/>
      <c r="D123" s="32"/>
      <c r="E123" s="101"/>
      <c r="F123" s="101"/>
      <c r="G123" s="32"/>
      <c r="H123" s="32"/>
      <c r="I123"/>
      <c r="J123"/>
      <c r="K123"/>
      <c r="L123"/>
      <c r="M123"/>
      <c r="N123"/>
      <c r="O123" s="25"/>
      <c r="P123" s="193"/>
      <c r="Q123" s="22"/>
      <c r="R123" s="22"/>
      <c r="S123" s="22"/>
      <c r="T123" s="242">
        <f>T95+T121</f>
        <v>0</v>
      </c>
      <c r="U123" s="242">
        <f>U95+U121</f>
        <v>0</v>
      </c>
      <c r="V123" s="243"/>
      <c r="W123" s="243"/>
      <c r="X123" s="243"/>
      <c r="Y123" s="244"/>
      <c r="Z123" s="39"/>
      <c r="AA123" s="32"/>
    </row>
    <row r="124" spans="2:32" ht="12" hidden="1" customHeight="1" x14ac:dyDescent="0.3">
      <c r="B124" s="136"/>
      <c r="C124" s="32"/>
      <c r="D124" s="32"/>
      <c r="E124" s="101"/>
      <c r="F124" s="101"/>
      <c r="G124" s="32"/>
      <c r="H124" s="32"/>
      <c r="I124" s="245"/>
      <c r="J124" s="245"/>
      <c r="K124" s="246"/>
      <c r="L124" s="247"/>
      <c r="M124" s="247"/>
      <c r="N124" s="248"/>
      <c r="O124" s="192"/>
      <c r="P124" s="193"/>
      <c r="Q124" s="22"/>
      <c r="R124" s="22"/>
      <c r="S124" s="22"/>
      <c r="T124" s="22"/>
      <c r="U124" s="22"/>
      <c r="V124" s="22"/>
      <c r="W124" s="22"/>
      <c r="X124" s="22"/>
      <c r="Y124" s="22"/>
      <c r="Z124" s="39"/>
      <c r="AA124" s="32"/>
    </row>
    <row r="125" spans="2:32" ht="12" hidden="1" customHeight="1" x14ac:dyDescent="0.3">
      <c r="B125" s="136"/>
      <c r="C125" s="32"/>
      <c r="D125" s="32"/>
      <c r="E125" s="101"/>
      <c r="F125" s="101"/>
      <c r="G125" s="101"/>
      <c r="H125" s="32"/>
      <c r="I125" s="245"/>
      <c r="J125" s="245"/>
      <c r="K125" s="246"/>
      <c r="L125" s="247"/>
      <c r="M125" s="247"/>
      <c r="N125" s="248"/>
      <c r="O125" s="192"/>
      <c r="P125" s="193"/>
      <c r="Q125" s="22"/>
      <c r="R125" s="22"/>
      <c r="S125" s="22"/>
      <c r="T125" s="22"/>
      <c r="U125" s="22"/>
      <c r="V125" s="22"/>
      <c r="W125" s="22"/>
      <c r="X125" s="22"/>
      <c r="Y125" s="22"/>
      <c r="Z125" s="39"/>
      <c r="AA125" s="32"/>
    </row>
    <row r="126" spans="2:32" ht="12" hidden="1" customHeight="1" x14ac:dyDescent="0.3">
      <c r="B126" s="136"/>
      <c r="C126" s="32"/>
      <c r="D126" s="32"/>
      <c r="E126" s="101"/>
      <c r="F126" s="101"/>
      <c r="G126" s="249"/>
      <c r="H126" s="32"/>
      <c r="I126" s="245"/>
      <c r="J126" s="245"/>
      <c r="K126" s="246"/>
      <c r="L126" s="247"/>
      <c r="M126" s="247"/>
      <c r="N126" s="248"/>
      <c r="O126" s="192"/>
      <c r="P126" s="193"/>
      <c r="Q126" s="22"/>
      <c r="R126" s="22"/>
      <c r="S126" s="22"/>
      <c r="T126" s="22"/>
      <c r="U126" s="22"/>
      <c r="V126" s="22"/>
      <c r="W126" s="22"/>
      <c r="X126" s="22"/>
      <c r="Y126" s="22"/>
      <c r="Z126" s="39"/>
      <c r="AA126" s="32"/>
    </row>
    <row r="127" spans="2:32" ht="12" hidden="1" customHeight="1" x14ac:dyDescent="0.3">
      <c r="B127" s="136"/>
      <c r="C127" s="32"/>
      <c r="D127" s="32"/>
      <c r="E127" s="101"/>
      <c r="F127" s="101"/>
      <c r="G127" s="32"/>
      <c r="H127" s="32"/>
      <c r="I127" s="245"/>
      <c r="J127" s="245"/>
      <c r="K127" s="246"/>
      <c r="L127" s="247"/>
      <c r="M127" s="247"/>
      <c r="N127" s="248"/>
      <c r="O127" s="192"/>
      <c r="P127" s="193"/>
      <c r="Q127" s="22"/>
      <c r="R127" s="22"/>
      <c r="S127" s="22"/>
      <c r="T127" s="22"/>
      <c r="U127" s="22"/>
      <c r="V127" s="22"/>
      <c r="W127" s="22"/>
      <c r="X127" s="22"/>
      <c r="Y127" s="22"/>
      <c r="Z127" s="39"/>
      <c r="AA127" s="32"/>
    </row>
    <row r="128" spans="2:32" ht="12" hidden="1" customHeight="1" x14ac:dyDescent="0.3">
      <c r="B128" s="136"/>
      <c r="C128" s="32"/>
      <c r="D128" s="32"/>
      <c r="E128" s="32"/>
      <c r="F128" s="32"/>
      <c r="G128" s="101"/>
      <c r="H128" s="32"/>
      <c r="I128" s="245"/>
      <c r="J128" s="245"/>
      <c r="K128" s="246"/>
      <c r="L128" s="247"/>
      <c r="M128" s="247"/>
      <c r="N128" s="248"/>
      <c r="O128" s="192"/>
      <c r="P128" s="193"/>
      <c r="Q128" s="22"/>
      <c r="R128" s="22"/>
      <c r="S128" s="22"/>
      <c r="T128" s="22"/>
      <c r="U128" s="22"/>
      <c r="V128" s="22"/>
      <c r="W128" s="22"/>
      <c r="X128" s="22"/>
      <c r="Y128" s="22"/>
      <c r="Z128" s="39"/>
      <c r="AA128" s="32"/>
    </row>
    <row r="129" spans="2:27" ht="12" hidden="1" customHeight="1" x14ac:dyDescent="0.3">
      <c r="B129" s="136"/>
      <c r="C129" s="32"/>
      <c r="D129" s="32"/>
      <c r="E129" s="32"/>
      <c r="F129" s="32"/>
      <c r="G129" s="32"/>
      <c r="H129" s="32"/>
      <c r="I129" s="245"/>
      <c r="J129" s="245"/>
      <c r="K129" s="246"/>
      <c r="L129" s="247"/>
      <c r="M129" s="247"/>
      <c r="N129" s="248"/>
      <c r="O129" s="192"/>
      <c r="P129" s="193"/>
      <c r="Q129" s="22"/>
      <c r="R129" s="22"/>
      <c r="S129" s="22"/>
      <c r="T129" s="22"/>
      <c r="U129" s="22"/>
      <c r="V129" s="22"/>
      <c r="W129" s="22"/>
      <c r="X129" s="22"/>
      <c r="Y129" s="22"/>
      <c r="Z129" s="39"/>
      <c r="AA129" s="32"/>
    </row>
    <row r="130" spans="2:27" ht="12" hidden="1" customHeight="1" x14ac:dyDescent="0.3">
      <c r="B130" s="136"/>
      <c r="C130" s="32"/>
      <c r="D130" s="32"/>
      <c r="E130" s="32"/>
      <c r="F130" s="32"/>
      <c r="G130" s="32"/>
      <c r="H130" s="32"/>
      <c r="I130" s="245"/>
      <c r="J130" s="245"/>
      <c r="K130" s="246"/>
      <c r="L130" s="247"/>
      <c r="M130" s="247"/>
      <c r="N130" s="248"/>
      <c r="O130" s="192"/>
      <c r="P130" s="193"/>
      <c r="Q130" s="22"/>
      <c r="R130" s="22"/>
      <c r="S130" s="22"/>
      <c r="T130" s="22"/>
      <c r="U130" s="22"/>
      <c r="V130" s="22"/>
      <c r="W130" s="22"/>
      <c r="X130" s="22"/>
      <c r="Y130" s="22"/>
      <c r="Z130" s="39"/>
      <c r="AA130" s="32"/>
    </row>
    <row r="131" spans="2:27" ht="12" hidden="1" customHeight="1" x14ac:dyDescent="0.3">
      <c r="B131" s="136"/>
      <c r="C131" s="32"/>
      <c r="D131" s="32"/>
      <c r="E131" s="32"/>
      <c r="F131" s="101"/>
      <c r="G131" s="101"/>
      <c r="H131" s="32"/>
      <c r="I131" s="245"/>
      <c r="J131" s="245"/>
      <c r="K131" s="246"/>
      <c r="L131" s="247"/>
      <c r="M131" s="247"/>
      <c r="N131" s="248"/>
      <c r="O131" s="192"/>
      <c r="P131" s="193"/>
      <c r="Q131" s="22"/>
      <c r="R131" s="22"/>
      <c r="S131" s="22"/>
      <c r="T131" s="22"/>
      <c r="U131" s="22"/>
      <c r="V131" s="22"/>
      <c r="W131" s="22"/>
      <c r="X131" s="22"/>
      <c r="Y131" s="22"/>
      <c r="Z131" s="39"/>
      <c r="AA131" s="32"/>
    </row>
    <row r="132" spans="2:27" ht="12" hidden="1" customHeight="1" x14ac:dyDescent="0.3">
      <c r="B132" s="136"/>
      <c r="C132" s="32"/>
      <c r="D132" s="32"/>
      <c r="E132" s="32"/>
      <c r="F132" s="101"/>
      <c r="G132" s="249"/>
      <c r="H132" s="32"/>
      <c r="I132" s="245"/>
      <c r="J132" s="245"/>
      <c r="K132" s="246"/>
      <c r="L132" s="247"/>
      <c r="M132" s="247"/>
      <c r="N132" s="248"/>
      <c r="O132" s="192"/>
      <c r="P132" s="193"/>
      <c r="Q132" s="22"/>
      <c r="R132" s="22"/>
      <c r="S132" s="22"/>
      <c r="T132" s="22"/>
      <c r="U132" s="22"/>
      <c r="V132" s="22"/>
      <c r="W132" s="22"/>
      <c r="X132" s="22"/>
      <c r="Y132" s="22"/>
      <c r="Z132" s="39"/>
      <c r="AA132" s="32"/>
    </row>
    <row r="133" spans="2:27" ht="12" hidden="1" customHeight="1" x14ac:dyDescent="0.25">
      <c r="B133" s="2" t="s">
        <v>69</v>
      </c>
      <c r="C133" s="208">
        <v>-1182226.6499999999</v>
      </c>
      <c r="D133" s="208">
        <v>110877.62000000104</v>
      </c>
      <c r="E133" s="208">
        <v>606587.03000000224</v>
      </c>
      <c r="F133" s="208">
        <v>279375.00000000105</v>
      </c>
      <c r="G133" s="213">
        <v>-1067552.9999999991</v>
      </c>
      <c r="H133" s="208">
        <v>31586.090909090941</v>
      </c>
      <c r="I133" s="208">
        <v>-1693795.9090909092</v>
      </c>
      <c r="J133" s="208">
        <v>-1576148</v>
      </c>
      <c r="K133" s="250">
        <v>-281413</v>
      </c>
      <c r="L133" s="251">
        <v>0.19310408545447438</v>
      </c>
      <c r="M133" s="251"/>
      <c r="N133" s="211">
        <v>-227071</v>
      </c>
      <c r="O133" s="192"/>
      <c r="P133" s="193"/>
      <c r="Q133" s="22"/>
      <c r="R133" s="22"/>
      <c r="S133" s="22"/>
      <c r="T133" s="22"/>
      <c r="U133" s="22"/>
      <c r="V133" s="22"/>
      <c r="W133" s="22"/>
      <c r="X133" s="22"/>
      <c r="Y133" s="22"/>
      <c r="Z133" s="39"/>
      <c r="AA133" s="32"/>
    </row>
    <row r="134" spans="2:27" ht="12" hidden="1" customHeight="1" x14ac:dyDescent="0.25">
      <c r="B134" s="2" t="s">
        <v>68</v>
      </c>
      <c r="C134" s="106">
        <f>'[1]NS Amort Apr 2016'!D13</f>
        <v>334878.98</v>
      </c>
      <c r="D134" s="106">
        <f>'[1]NS Amort Apr 2016'!E13</f>
        <v>669757</v>
      </c>
      <c r="E134" s="106">
        <f>'[1]NS Amort Apr 2016'!H13</f>
        <v>600665.90909090906</v>
      </c>
      <c r="F134" s="106">
        <f>'[1]NS Amort Apr 2016'!I13</f>
        <v>489665.90909090906</v>
      </c>
      <c r="G134" s="106">
        <f>'[1]NS Amort Apr 2016'!J13</f>
        <v>369415.90909090906</v>
      </c>
      <c r="H134" s="106">
        <f>'[1]NS Amort Apr 2016'!K13</f>
        <v>360165.90909090906</v>
      </c>
      <c r="I134" s="106">
        <f>H134</f>
        <v>360165.90909090906</v>
      </c>
      <c r="J134" s="106"/>
      <c r="K134" s="106">
        <v>360166</v>
      </c>
      <c r="L134" s="252">
        <v>360166</v>
      </c>
      <c r="M134" s="106"/>
      <c r="N134" s="206">
        <f t="shared" ref="N134" si="38">+L134-P134</f>
        <v>0</v>
      </c>
      <c r="O134" s="253">
        <f t="shared" ref="O134" si="39">+N134/L134</f>
        <v>0</v>
      </c>
      <c r="P134" s="109">
        <v>360166</v>
      </c>
      <c r="Q134" s="106">
        <v>264284.5</v>
      </c>
      <c r="R134" s="106"/>
      <c r="S134" s="106">
        <v>264284</v>
      </c>
      <c r="T134" s="106">
        <v>264283</v>
      </c>
      <c r="U134" s="106">
        <v>264283</v>
      </c>
      <c r="V134" s="106">
        <v>168400</v>
      </c>
      <c r="W134" s="106">
        <v>168400</v>
      </c>
      <c r="X134" s="106">
        <v>84200</v>
      </c>
      <c r="Y134" s="106">
        <v>168400</v>
      </c>
      <c r="Z134" s="39">
        <v>84200</v>
      </c>
      <c r="AA134" s="32"/>
    </row>
    <row r="135" spans="2:27" ht="12" hidden="1" customHeight="1" x14ac:dyDescent="0.3">
      <c r="B135" s="136"/>
      <c r="C135" s="32"/>
      <c r="D135" s="232"/>
      <c r="E135" s="32"/>
      <c r="F135" s="32"/>
      <c r="G135" s="254"/>
      <c r="H135" s="32"/>
      <c r="I135" s="233"/>
      <c r="J135" s="233"/>
      <c r="K135" s="233"/>
      <c r="L135" s="246"/>
      <c r="M135" s="233"/>
      <c r="N135" s="247"/>
      <c r="O135" s="247"/>
      <c r="P135" s="248"/>
      <c r="Q135" s="234"/>
      <c r="R135" s="234"/>
      <c r="S135" s="234"/>
      <c r="T135" s="234"/>
      <c r="U135" s="234"/>
      <c r="V135" s="255"/>
      <c r="W135" s="255"/>
      <c r="X135" s="255"/>
      <c r="Y135" s="255"/>
      <c r="Z135" s="39"/>
      <c r="AA135" s="32"/>
    </row>
    <row r="136" spans="2:27" ht="12" hidden="1" customHeight="1" x14ac:dyDescent="0.3">
      <c r="B136" s="136"/>
      <c r="C136" s="32"/>
      <c r="D136" s="234"/>
      <c r="E136" s="32"/>
      <c r="F136" s="32"/>
      <c r="G136" s="240"/>
      <c r="H136" s="32"/>
      <c r="I136" s="245"/>
      <c r="J136" s="245"/>
      <c r="K136" s="245"/>
      <c r="L136" s="246"/>
      <c r="M136" s="233"/>
      <c r="N136" s="247"/>
      <c r="O136" s="247"/>
      <c r="P136" s="248"/>
      <c r="Q136" s="234"/>
      <c r="R136" s="234"/>
      <c r="S136" s="234"/>
      <c r="T136" s="234"/>
      <c r="U136" s="234"/>
      <c r="V136" s="32"/>
      <c r="W136" s="137"/>
      <c r="X136" s="137"/>
      <c r="Y136" s="137"/>
      <c r="Z136" s="39"/>
      <c r="AA136" s="32"/>
    </row>
    <row r="137" spans="2:27" ht="12" hidden="1" customHeight="1" x14ac:dyDescent="0.3">
      <c r="B137" s="136"/>
      <c r="C137" s="32"/>
      <c r="D137" s="234"/>
      <c r="E137" s="32"/>
      <c r="F137" s="32"/>
      <c r="G137" s="96"/>
      <c r="H137" s="32"/>
      <c r="I137" s="245"/>
      <c r="J137" s="245"/>
      <c r="K137" s="245"/>
      <c r="L137" s="246"/>
      <c r="M137" s="233"/>
      <c r="N137" s="247"/>
      <c r="O137" s="247"/>
      <c r="P137" s="248"/>
      <c r="Q137" s="234"/>
      <c r="R137" s="234"/>
      <c r="S137" s="234"/>
      <c r="T137" s="234"/>
      <c r="U137" s="234"/>
      <c r="V137" s="96"/>
      <c r="W137" s="256"/>
      <c r="X137" s="256"/>
      <c r="Y137" s="256"/>
      <c r="Z137" s="39"/>
      <c r="AA137" s="32"/>
    </row>
    <row r="138" spans="2:27" ht="12" hidden="1" customHeight="1" x14ac:dyDescent="0.3">
      <c r="B138" s="136"/>
      <c r="C138" s="32"/>
      <c r="D138" s="234"/>
      <c r="E138" s="32"/>
      <c r="F138" s="32"/>
      <c r="G138" s="240"/>
      <c r="H138" s="32"/>
      <c r="I138" s="245"/>
      <c r="J138" s="245"/>
      <c r="K138" s="245"/>
      <c r="L138" s="246"/>
      <c r="M138" s="233"/>
      <c r="N138" s="247"/>
      <c r="O138" s="247"/>
      <c r="P138" s="248"/>
      <c r="Q138" s="234"/>
      <c r="R138" s="234"/>
      <c r="S138" s="234"/>
      <c r="T138" s="234"/>
      <c r="U138" s="234"/>
      <c r="V138" s="32"/>
      <c r="W138" s="137"/>
      <c r="X138" s="137"/>
      <c r="Y138" s="137"/>
      <c r="Z138" s="39"/>
      <c r="AA138" s="32"/>
    </row>
    <row r="139" spans="2:27" ht="12" hidden="1" customHeight="1" x14ac:dyDescent="0.3">
      <c r="B139" s="136"/>
      <c r="C139" s="32"/>
      <c r="D139" s="32"/>
      <c r="E139" s="32"/>
      <c r="F139" s="32"/>
      <c r="G139" s="101"/>
      <c r="H139" s="32"/>
      <c r="I139" s="245"/>
      <c r="J139" s="245"/>
      <c r="K139" s="245"/>
      <c r="L139" s="246"/>
      <c r="M139" s="233"/>
      <c r="N139" s="247"/>
      <c r="O139" s="247"/>
      <c r="P139" s="248"/>
      <c r="Q139" s="234"/>
      <c r="R139" s="234"/>
      <c r="S139" s="234"/>
      <c r="T139" s="234"/>
      <c r="U139" s="234"/>
      <c r="V139" s="32"/>
      <c r="W139" s="137"/>
      <c r="X139" s="137"/>
      <c r="Y139" s="137"/>
      <c r="Z139" s="39"/>
      <c r="AA139" s="32"/>
    </row>
    <row r="140" spans="2:27" ht="12" hidden="1" customHeight="1" x14ac:dyDescent="0.3">
      <c r="B140" s="136"/>
      <c r="C140" s="32"/>
      <c r="D140" s="32"/>
      <c r="E140" s="32"/>
      <c r="F140" s="32"/>
      <c r="G140" s="32"/>
      <c r="H140" s="32"/>
      <c r="I140" s="245"/>
      <c r="J140" s="245"/>
      <c r="K140" s="245"/>
      <c r="L140" s="246"/>
      <c r="M140" s="233"/>
      <c r="N140" s="247"/>
      <c r="O140" s="247"/>
      <c r="P140" s="248"/>
      <c r="Q140" s="234"/>
      <c r="R140" s="234"/>
      <c r="S140" s="234"/>
      <c r="T140" s="234"/>
      <c r="U140" s="234"/>
      <c r="V140" s="32"/>
      <c r="W140" s="137"/>
      <c r="X140" s="137"/>
      <c r="Y140" s="137"/>
      <c r="Z140" s="39"/>
      <c r="AA140" s="32"/>
    </row>
    <row r="141" spans="2:27" ht="12" hidden="1" customHeight="1" x14ac:dyDescent="0.3">
      <c r="B141" s="136"/>
      <c r="C141" s="32"/>
      <c r="D141" s="32"/>
      <c r="E141" s="32"/>
      <c r="F141" s="32"/>
      <c r="G141" s="101"/>
      <c r="H141" s="32"/>
      <c r="I141" s="245"/>
      <c r="J141" s="245"/>
      <c r="K141" s="245"/>
      <c r="L141" s="246"/>
      <c r="M141" s="233"/>
      <c r="N141" s="247"/>
      <c r="O141" s="247"/>
      <c r="P141" s="248"/>
      <c r="Q141" s="234"/>
      <c r="R141" s="234"/>
      <c r="S141" s="234"/>
      <c r="T141" s="234"/>
      <c r="U141" s="234"/>
      <c r="V141" s="32"/>
      <c r="W141" s="137"/>
      <c r="X141" s="137"/>
      <c r="Y141" s="137"/>
      <c r="Z141" s="39"/>
      <c r="AA141" s="32"/>
    </row>
    <row r="142" spans="2:27" ht="12" hidden="1" customHeight="1" x14ac:dyDescent="0.3">
      <c r="B142" s="136"/>
      <c r="C142" s="32"/>
      <c r="D142" s="32"/>
      <c r="E142" s="101"/>
      <c r="F142" s="101"/>
      <c r="G142" s="32"/>
      <c r="H142" s="32"/>
      <c r="I142" s="245"/>
      <c r="J142" s="245"/>
      <c r="K142" s="245"/>
      <c r="L142" s="246"/>
      <c r="M142" s="233"/>
      <c r="N142" s="247"/>
      <c r="O142" s="247"/>
      <c r="P142" s="248"/>
      <c r="Q142" s="234"/>
      <c r="R142" s="234"/>
      <c r="S142" s="234"/>
      <c r="T142" s="234"/>
      <c r="U142" s="234"/>
      <c r="V142" s="32"/>
      <c r="W142" s="137"/>
      <c r="X142" s="137"/>
      <c r="Y142" s="137"/>
      <c r="Z142" s="39"/>
      <c r="AA142" s="32"/>
    </row>
    <row r="143" spans="2:27" ht="12" hidden="1" customHeight="1" x14ac:dyDescent="0.3">
      <c r="B143" s="136"/>
      <c r="C143" s="32"/>
      <c r="D143" s="32"/>
      <c r="E143" s="101"/>
      <c r="F143" s="101"/>
      <c r="G143" s="32"/>
      <c r="H143" s="32"/>
      <c r="I143" s="245"/>
      <c r="J143" s="245"/>
      <c r="K143" s="245"/>
      <c r="L143" s="246"/>
      <c r="M143" s="233"/>
      <c r="N143" s="247"/>
      <c r="O143" s="247"/>
      <c r="P143" s="248"/>
      <c r="Q143" s="234"/>
      <c r="R143" s="234"/>
      <c r="S143" s="234"/>
      <c r="T143" s="234"/>
      <c r="U143" s="234"/>
      <c r="V143" s="32"/>
      <c r="W143" s="137"/>
      <c r="X143" s="137"/>
      <c r="Y143" s="137"/>
      <c r="Z143" s="39"/>
      <c r="AA143" s="32"/>
    </row>
    <row r="144" spans="2:27" ht="12" hidden="1" customHeight="1" x14ac:dyDescent="0.3">
      <c r="B144" s="136"/>
      <c r="C144" s="32"/>
      <c r="D144" s="32"/>
      <c r="E144" s="101"/>
      <c r="F144" s="101"/>
      <c r="G144" s="32"/>
      <c r="H144" s="32"/>
      <c r="I144" s="245"/>
      <c r="J144" s="245"/>
      <c r="K144" s="245"/>
      <c r="L144" s="246"/>
      <c r="M144" s="233"/>
      <c r="N144" s="247"/>
      <c r="O144" s="247"/>
      <c r="P144" s="248"/>
      <c r="Q144" s="234"/>
      <c r="R144" s="234"/>
      <c r="S144" s="234"/>
      <c r="T144" s="234"/>
      <c r="U144" s="234"/>
      <c r="V144" s="101"/>
      <c r="W144" s="120"/>
      <c r="X144" s="120"/>
      <c r="Y144" s="120"/>
      <c r="Z144" s="39"/>
      <c r="AA144" s="32"/>
    </row>
    <row r="145" spans="2:28" ht="12" hidden="1" customHeight="1" x14ac:dyDescent="0.3">
      <c r="B145" s="136"/>
      <c r="C145" s="32"/>
      <c r="D145" s="32"/>
      <c r="E145" s="101"/>
      <c r="F145" s="101"/>
      <c r="G145" s="32"/>
      <c r="H145" s="32"/>
      <c r="I145" s="245"/>
      <c r="J145" s="245"/>
      <c r="K145" s="245"/>
      <c r="L145" s="246"/>
      <c r="M145" s="233"/>
      <c r="N145" s="247"/>
      <c r="O145" s="247"/>
      <c r="P145" s="248"/>
      <c r="Q145" s="234"/>
      <c r="R145" s="234"/>
      <c r="S145" s="234"/>
      <c r="T145" s="234"/>
      <c r="U145" s="234"/>
      <c r="V145" s="32"/>
      <c r="W145" s="137"/>
      <c r="X145" s="137"/>
      <c r="Y145" s="137"/>
      <c r="Z145" s="39"/>
      <c r="AA145" s="32"/>
    </row>
    <row r="146" spans="2:28" ht="12" hidden="1" customHeight="1" x14ac:dyDescent="0.3">
      <c r="B146" s="136"/>
      <c r="C146" s="32"/>
      <c r="D146" s="32"/>
      <c r="E146" s="101"/>
      <c r="F146" s="101"/>
      <c r="G146" s="101"/>
      <c r="H146" s="32"/>
      <c r="I146" s="245"/>
      <c r="J146" s="245"/>
      <c r="K146" s="245"/>
      <c r="L146" s="246"/>
      <c r="M146" s="233"/>
      <c r="N146" s="247"/>
      <c r="O146" s="247"/>
      <c r="P146" s="248"/>
      <c r="Q146" s="234"/>
      <c r="R146" s="234"/>
      <c r="S146" s="234"/>
      <c r="T146" s="234"/>
      <c r="U146" s="234"/>
      <c r="V146" s="32"/>
      <c r="W146" s="137"/>
      <c r="X146" s="137"/>
      <c r="Y146" s="137"/>
      <c r="Z146" s="39"/>
      <c r="AA146" s="32"/>
    </row>
    <row r="147" spans="2:28" ht="15" hidden="1" customHeight="1" x14ac:dyDescent="0.3">
      <c r="B147" s="136"/>
      <c r="C147" s="32"/>
      <c r="D147" s="32"/>
      <c r="E147" s="101"/>
      <c r="F147" s="101"/>
      <c r="G147" s="249"/>
      <c r="H147" s="32"/>
      <c r="I147" s="245"/>
      <c r="J147" s="245"/>
      <c r="K147" s="245"/>
      <c r="L147" s="246"/>
      <c r="M147" s="233"/>
      <c r="N147" s="247"/>
      <c r="O147" s="247"/>
      <c r="P147" s="248"/>
      <c r="Q147" s="234"/>
      <c r="R147" s="234"/>
      <c r="S147" s="234"/>
      <c r="T147" s="234"/>
      <c r="U147" s="234"/>
      <c r="V147" s="32"/>
      <c r="W147" s="137"/>
      <c r="X147" s="137"/>
      <c r="Y147" s="137"/>
      <c r="Z147" s="39"/>
      <c r="AA147" s="32"/>
    </row>
    <row r="148" spans="2:28" ht="15" hidden="1" customHeight="1" x14ac:dyDescent="0.3">
      <c r="B148" s="136"/>
      <c r="C148" s="32"/>
      <c r="D148" s="32"/>
      <c r="E148" s="101"/>
      <c r="F148" s="101"/>
      <c r="G148" s="32"/>
      <c r="H148" s="32"/>
      <c r="I148" s="245"/>
      <c r="J148" s="245"/>
      <c r="K148" s="245"/>
      <c r="L148" s="246"/>
      <c r="M148" s="233"/>
      <c r="N148" s="247"/>
      <c r="O148" s="247"/>
      <c r="P148" s="248"/>
      <c r="Q148" s="234"/>
      <c r="R148" s="234"/>
      <c r="S148" s="234"/>
      <c r="T148" s="234"/>
      <c r="U148" s="234"/>
      <c r="V148" s="32"/>
      <c r="W148" s="137"/>
      <c r="X148" s="137"/>
      <c r="Y148" s="137"/>
      <c r="Z148" s="39"/>
      <c r="AA148" s="32"/>
    </row>
    <row r="149" spans="2:28" ht="15" hidden="1" customHeight="1" x14ac:dyDescent="0.3">
      <c r="B149" s="136"/>
      <c r="C149" s="32"/>
      <c r="D149" s="32"/>
      <c r="E149" s="32"/>
      <c r="F149" s="32"/>
      <c r="G149" s="101"/>
      <c r="H149" s="32"/>
      <c r="I149" s="245"/>
      <c r="J149" s="245"/>
      <c r="K149" s="245"/>
      <c r="L149" s="246"/>
      <c r="M149" s="233"/>
      <c r="N149" s="247"/>
      <c r="O149" s="247"/>
      <c r="P149" s="248"/>
      <c r="Q149" s="234"/>
      <c r="R149" s="234"/>
      <c r="S149" s="234"/>
      <c r="T149" s="234"/>
      <c r="U149" s="234"/>
      <c r="V149" s="32"/>
      <c r="W149" s="137"/>
      <c r="X149" s="137"/>
      <c r="Y149" s="137"/>
      <c r="Z149" s="39"/>
      <c r="AA149" s="32"/>
    </row>
    <row r="150" spans="2:28" ht="15" hidden="1" customHeight="1" x14ac:dyDescent="0.3">
      <c r="B150" s="136"/>
      <c r="C150" s="32"/>
      <c r="D150" s="32"/>
      <c r="E150" s="32"/>
      <c r="F150" s="32"/>
      <c r="G150" s="32"/>
      <c r="H150" s="32"/>
      <c r="I150" s="245"/>
      <c r="J150" s="245"/>
      <c r="K150" s="245"/>
      <c r="L150" s="246"/>
      <c r="M150" s="233"/>
      <c r="N150" s="247"/>
      <c r="O150" s="247"/>
      <c r="P150" s="248"/>
      <c r="Q150" s="234"/>
      <c r="R150" s="234"/>
      <c r="S150" s="234"/>
      <c r="T150" s="234"/>
      <c r="U150" s="234"/>
      <c r="V150" s="32"/>
      <c r="W150" s="137"/>
      <c r="X150" s="137"/>
      <c r="Y150" s="137"/>
      <c r="Z150" s="39"/>
      <c r="AA150" s="32"/>
    </row>
    <row r="151" spans="2:28" ht="15" hidden="1" customHeight="1" x14ac:dyDescent="0.3">
      <c r="B151" s="136"/>
      <c r="C151" s="32"/>
      <c r="D151" s="32"/>
      <c r="E151" s="32"/>
      <c r="F151" s="32"/>
      <c r="G151" s="32"/>
      <c r="H151" s="32"/>
      <c r="I151" s="245"/>
      <c r="J151" s="245"/>
      <c r="K151" s="245"/>
      <c r="L151" s="246"/>
      <c r="M151" s="233"/>
      <c r="N151" s="247"/>
      <c r="O151" s="247"/>
      <c r="P151" s="248"/>
      <c r="Q151" s="234"/>
      <c r="R151" s="234"/>
      <c r="S151" s="234"/>
      <c r="T151" s="234"/>
      <c r="U151" s="234"/>
      <c r="V151" s="32"/>
      <c r="W151" s="137"/>
      <c r="X151" s="137"/>
      <c r="Y151" s="137"/>
      <c r="Z151" s="39"/>
      <c r="AA151" s="32"/>
    </row>
    <row r="152" spans="2:28" ht="15" hidden="1" customHeight="1" x14ac:dyDescent="0.3">
      <c r="B152" s="136"/>
      <c r="C152" s="32"/>
      <c r="D152" s="32"/>
      <c r="E152" s="32"/>
      <c r="F152" s="101"/>
      <c r="G152" s="101"/>
      <c r="H152" s="32"/>
      <c r="I152" s="245"/>
      <c r="J152" s="245"/>
      <c r="K152" s="245"/>
      <c r="L152" s="246"/>
      <c r="M152" s="233"/>
      <c r="N152" s="247"/>
      <c r="O152" s="247"/>
      <c r="P152" s="248"/>
      <c r="Q152" s="234"/>
      <c r="R152" s="234"/>
      <c r="S152" s="234"/>
      <c r="T152" s="234"/>
      <c r="U152" s="234"/>
      <c r="V152" s="32"/>
      <c r="W152" s="137"/>
      <c r="X152" s="137"/>
      <c r="Y152" s="137"/>
      <c r="Z152" s="39"/>
      <c r="AA152" s="32"/>
    </row>
    <row r="153" spans="2:28" ht="15" hidden="1" customHeight="1" x14ac:dyDescent="0.3">
      <c r="B153" s="136"/>
      <c r="C153" s="32"/>
      <c r="D153" s="32"/>
      <c r="E153" s="32"/>
      <c r="F153" s="101"/>
      <c r="G153" s="249"/>
      <c r="H153" s="32"/>
      <c r="I153" s="245"/>
      <c r="J153" s="245"/>
      <c r="K153" s="245"/>
      <c r="L153" s="246"/>
      <c r="M153" s="233"/>
      <c r="N153" s="247"/>
      <c r="O153" s="247"/>
      <c r="P153" s="248"/>
      <c r="Q153" s="234"/>
      <c r="R153" s="234"/>
      <c r="S153" s="234"/>
      <c r="T153" s="234"/>
      <c r="U153" s="234"/>
      <c r="V153" s="32"/>
      <c r="W153" s="137"/>
      <c r="X153" s="137"/>
      <c r="Y153" s="137"/>
      <c r="Z153" s="39"/>
      <c r="AA153" s="32"/>
    </row>
    <row r="154" spans="2:28" ht="13.8" hidden="1" thickBot="1" x14ac:dyDescent="0.3">
      <c r="B154" s="2" t="s">
        <v>69</v>
      </c>
      <c r="C154" s="208">
        <f t="shared" ref="C154:I154" si="40">C95-C134</f>
        <v>-1182226.6499999999</v>
      </c>
      <c r="D154" s="208">
        <f t="shared" si="40"/>
        <v>110877.62000000104</v>
      </c>
      <c r="E154" s="208">
        <f t="shared" si="40"/>
        <v>606587.03000000224</v>
      </c>
      <c r="F154" s="208">
        <f t="shared" si="40"/>
        <v>279375.00000000105</v>
      </c>
      <c r="G154" s="213">
        <f t="shared" si="40"/>
        <v>-1067552.9999999991</v>
      </c>
      <c r="H154" s="208">
        <f t="shared" si="40"/>
        <v>31586.090909090941</v>
      </c>
      <c r="I154" s="208">
        <f t="shared" si="40"/>
        <v>-1693795.9090909092</v>
      </c>
      <c r="J154" s="208"/>
      <c r="K154" s="208">
        <f>K95-K134</f>
        <v>-1236698</v>
      </c>
      <c r="L154" s="250">
        <f>L95-L134</f>
        <v>-281413</v>
      </c>
      <c r="M154" s="208"/>
      <c r="N154" s="216">
        <f>N95-N134</f>
        <v>54342</v>
      </c>
      <c r="O154" s="251">
        <f>-N154/L154</f>
        <v>0.19310408545447438</v>
      </c>
      <c r="P154" s="211">
        <f>P95-P134</f>
        <v>-227071</v>
      </c>
      <c r="Q154" s="208">
        <v>-116417.28799999878</v>
      </c>
      <c r="R154" s="208"/>
      <c r="S154" s="208"/>
      <c r="T154" s="208">
        <f>T95-T134</f>
        <v>-10484554.218480904</v>
      </c>
      <c r="U154" s="208">
        <f>U95-U134</f>
        <v>-48311.990087835118</v>
      </c>
      <c r="V154" s="208">
        <f>X95-V134</f>
        <v>-1855691.4587677829</v>
      </c>
      <c r="W154" s="208">
        <f>Y95-W134</f>
        <v>-1622522.3252305277</v>
      </c>
      <c r="X154" s="208">
        <f>Z95-X134</f>
        <v>-30737.371009442955</v>
      </c>
      <c r="Y154" s="208">
        <f>AB95-Y134</f>
        <v>2714947.4801234119</v>
      </c>
      <c r="Z154" s="39"/>
      <c r="AA154" s="32"/>
      <c r="AB154" s="212"/>
    </row>
    <row r="155" spans="2:28" hidden="1" x14ac:dyDescent="0.25">
      <c r="B155" s="136"/>
      <c r="C155" s="32"/>
      <c r="D155" s="32"/>
      <c r="E155" s="32"/>
      <c r="F155" s="32"/>
      <c r="G155" s="101"/>
      <c r="H155" s="10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32"/>
      <c r="W155" s="32"/>
      <c r="X155" s="32"/>
      <c r="Y155" s="32"/>
      <c r="Z155" s="39"/>
      <c r="AA155" s="32"/>
    </row>
    <row r="156" spans="2:28" ht="14.4" hidden="1" x14ac:dyDescent="0.3">
      <c r="B156" s="136"/>
      <c r="C156" s="32"/>
      <c r="D156" s="32"/>
      <c r="E156" s="32"/>
      <c r="F156" s="32"/>
      <c r="G156" s="32"/>
      <c r="H156" s="32"/>
      <c r="I156" s="257"/>
      <c r="J156" s="257"/>
      <c r="K156" s="257"/>
      <c r="L156" s="258"/>
      <c r="M156" s="258"/>
      <c r="N156" s="258"/>
      <c r="O156" s="258"/>
      <c r="P156" s="258"/>
      <c r="Q156" s="258"/>
      <c r="R156" s="258"/>
      <c r="S156" s="258"/>
      <c r="T156" s="234"/>
      <c r="U156" s="234"/>
      <c r="V156" s="257"/>
      <c r="W156" s="257"/>
      <c r="X156" s="257"/>
      <c r="Y156" s="257"/>
      <c r="Z156" s="39"/>
      <c r="AA156" s="32"/>
    </row>
    <row r="157" spans="2:28" ht="14.4" hidden="1" x14ac:dyDescent="0.3">
      <c r="B157" s="136"/>
      <c r="C157" s="32"/>
      <c r="D157" s="32"/>
      <c r="E157" s="32"/>
      <c r="F157" s="101"/>
      <c r="G157" s="101"/>
      <c r="H157" s="32"/>
      <c r="I157" s="101"/>
      <c r="J157" s="101"/>
      <c r="K157" s="101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7"/>
      <c r="X157" s="257"/>
      <c r="Y157" s="257"/>
      <c r="Z157" s="39"/>
      <c r="AA157" s="32"/>
    </row>
    <row r="158" spans="2:28" ht="14.4" hidden="1" x14ac:dyDescent="0.3">
      <c r="B158" s="136" t="s">
        <v>70</v>
      </c>
      <c r="C158" s="32"/>
      <c r="D158" s="32"/>
      <c r="E158" s="32"/>
      <c r="F158" s="32"/>
      <c r="G158" s="32"/>
      <c r="H158" s="32"/>
      <c r="I158" s="260"/>
      <c r="J158" s="260"/>
      <c r="K158" s="260"/>
      <c r="L158" s="259"/>
      <c r="M158" s="259"/>
      <c r="N158" s="259"/>
      <c r="O158" s="259"/>
      <c r="P158" s="259"/>
      <c r="Q158" s="259"/>
      <c r="R158" s="259"/>
      <c r="S158" s="259"/>
      <c r="T158" s="261"/>
      <c r="U158" s="261"/>
      <c r="V158" s="259"/>
      <c r="W158" s="257"/>
      <c r="X158" s="257"/>
      <c r="Y158" s="257"/>
      <c r="Z158" s="39"/>
      <c r="AA158" s="32"/>
    </row>
    <row r="159" spans="2:28" ht="14.4" x14ac:dyDescent="0.3">
      <c r="B159" s="136"/>
      <c r="C159" s="32"/>
      <c r="D159" s="32"/>
      <c r="E159" s="32"/>
      <c r="F159" s="32"/>
      <c r="G159" s="191"/>
      <c r="H159" s="32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  <c r="V159" s="259"/>
      <c r="W159" s="257"/>
      <c r="X159" s="257"/>
      <c r="Y159" s="257"/>
      <c r="Z159" s="234"/>
      <c r="AA159" s="234"/>
      <c r="AB159" s="234"/>
    </row>
    <row r="160" spans="2:28" ht="14.4" x14ac:dyDescent="0.3">
      <c r="B160"/>
      <c r="C160" s="32"/>
      <c r="D160" s="32"/>
      <c r="E160" s="32"/>
      <c r="F160" s="32"/>
      <c r="G160" s="101"/>
      <c r="H160" s="32"/>
      <c r="I160" s="259"/>
      <c r="J160" s="259"/>
      <c r="K160" s="260"/>
      <c r="L160" s="260"/>
      <c r="M160" s="260"/>
      <c r="N160" s="262"/>
      <c r="O160" s="262"/>
      <c r="P160" s="262"/>
      <c r="Q160" s="262"/>
      <c r="R160" s="262"/>
      <c r="S160" s="262"/>
      <c r="T160" s="260"/>
      <c r="U160"/>
      <c r="V160" s="259"/>
      <c r="W160" s="257"/>
      <c r="Y160" s="257"/>
      <c r="Z160" s="233"/>
      <c r="AA160" s="234"/>
      <c r="AB160" s="234"/>
    </row>
    <row r="161" spans="2:28" ht="14.4" hidden="1" x14ac:dyDescent="0.3">
      <c r="B161" s="136"/>
      <c r="C161" s="32"/>
      <c r="D161" s="32"/>
      <c r="E161" s="32"/>
      <c r="F161" s="32"/>
      <c r="G161" s="32"/>
      <c r="H161" s="32"/>
      <c r="I161" s="259"/>
      <c r="J161" s="259"/>
      <c r="K161" s="260"/>
      <c r="L161" s="259"/>
      <c r="M161" s="259"/>
      <c r="N161" s="259"/>
      <c r="O161" s="259"/>
      <c r="P161" s="259"/>
      <c r="Q161" s="259"/>
      <c r="R161" s="259"/>
      <c r="S161" s="259"/>
      <c r="T161" s="259"/>
      <c r="U161"/>
      <c r="V161" s="259"/>
      <c r="W161" s="257"/>
      <c r="X161"/>
      <c r="Y161" s="257"/>
      <c r="Z161" s="234"/>
      <c r="AA161" s="234"/>
      <c r="AB161" s="234"/>
    </row>
    <row r="162" spans="2:28" ht="15.6" hidden="1" x14ac:dyDescent="0.3">
      <c r="B162" s="13" t="s">
        <v>71</v>
      </c>
      <c r="C162" s="13"/>
      <c r="D162" s="263">
        <v>0.03</v>
      </c>
      <c r="E162" s="32"/>
      <c r="F162" s="32"/>
      <c r="G162" s="191"/>
      <c r="H162" s="32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/>
      <c r="V162" s="259"/>
      <c r="W162" s="257"/>
      <c r="X162"/>
      <c r="Y162" s="257"/>
      <c r="Z162" s="234"/>
      <c r="AA162" s="234"/>
      <c r="AB162" s="234"/>
    </row>
    <row r="163" spans="2:28" ht="14.4" hidden="1" x14ac:dyDescent="0.3">
      <c r="B163" s="136"/>
      <c r="C163" s="32"/>
      <c r="D163" s="32"/>
      <c r="E163" s="32"/>
      <c r="F163" s="32"/>
      <c r="G163" s="264"/>
      <c r="H163" s="264"/>
      <c r="I163" s="259"/>
      <c r="J163" s="259"/>
      <c r="K163" s="265"/>
      <c r="L163" s="265"/>
      <c r="M163" s="265"/>
      <c r="N163" s="259"/>
      <c r="O163" s="259"/>
      <c r="P163" s="259"/>
      <c r="Q163" s="259"/>
      <c r="R163" s="259"/>
      <c r="S163" s="259"/>
      <c r="T163" s="259"/>
      <c r="U163"/>
      <c r="V163" s="259"/>
      <c r="W163" s="257"/>
      <c r="X163"/>
      <c r="Y163" s="257"/>
      <c r="Z163" s="101"/>
      <c r="AA163" s="101"/>
      <c r="AB163" s="32"/>
    </row>
    <row r="164" spans="2:28" ht="14.4" x14ac:dyDescent="0.3">
      <c r="B164" s="136"/>
      <c r="C164" s="32"/>
      <c r="D164" s="32"/>
      <c r="E164" s="32"/>
      <c r="F164" s="32"/>
      <c r="G164" s="32"/>
      <c r="H164" s="32"/>
      <c r="I164" s="266"/>
      <c r="J164" s="266"/>
      <c r="K164"/>
      <c r="L164" s="265"/>
      <c r="M164" s="265"/>
      <c r="N164" s="259"/>
      <c r="O164" s="259"/>
      <c r="P164" s="259"/>
      <c r="Q164" s="259"/>
      <c r="R164" s="259"/>
      <c r="S164" s="259"/>
      <c r="T164" s="259"/>
      <c r="U164"/>
      <c r="V164" s="259"/>
      <c r="W164" s="32"/>
      <c r="X164"/>
      <c r="Y164" s="32"/>
      <c r="Z164" s="32"/>
      <c r="AA164" s="32"/>
      <c r="AB164" s="32"/>
    </row>
    <row r="165" spans="2:28" ht="14.4" x14ac:dyDescent="0.3">
      <c r="B165" s="136"/>
      <c r="C165" s="32"/>
      <c r="D165" s="32"/>
      <c r="E165" s="32"/>
      <c r="F165" s="32"/>
      <c r="G165" s="32"/>
      <c r="H165" s="32"/>
      <c r="I165" s="266"/>
      <c r="J165" s="266"/>
      <c r="K165"/>
      <c r="L165"/>
      <c r="M165"/>
      <c r="N165"/>
      <c r="O165"/>
      <c r="P165"/>
      <c r="Q165"/>
      <c r="R165"/>
      <c r="S165"/>
      <c r="T165"/>
      <c r="U165"/>
      <c r="V165" s="259"/>
      <c r="W165" s="257"/>
      <c r="X165"/>
      <c r="Y165" s="257"/>
      <c r="Z165" s="32"/>
      <c r="AA165" s="32"/>
      <c r="AB165" s="32"/>
    </row>
    <row r="166" spans="2:28" ht="14.4" x14ac:dyDescent="0.3">
      <c r="B166" s="195" t="s">
        <v>152</v>
      </c>
      <c r="C166" s="32"/>
      <c r="D166" s="32"/>
      <c r="E166" s="32"/>
      <c r="F166" s="32"/>
      <c r="G166" s="32"/>
      <c r="H166" s="32"/>
      <c r="I166" s="259"/>
      <c r="J166" s="259"/>
      <c r="K166"/>
      <c r="L166"/>
      <c r="M166"/>
      <c r="N166"/>
      <c r="O166"/>
      <c r="P166"/>
      <c r="Q166"/>
      <c r="R166"/>
      <c r="S166"/>
      <c r="T166"/>
      <c r="U166"/>
      <c r="V166" s="259"/>
      <c r="W166" s="257"/>
      <c r="X166"/>
      <c r="Y166" s="257"/>
      <c r="Z166" s="32"/>
      <c r="AA166" s="32"/>
      <c r="AB166" s="32"/>
    </row>
    <row r="167" spans="2:28" ht="14.4" x14ac:dyDescent="0.3">
      <c r="E167" s="32"/>
      <c r="F167" s="32"/>
      <c r="G167" s="32"/>
      <c r="H167" s="32"/>
      <c r="I167" s="259"/>
      <c r="J167" s="259"/>
      <c r="K167"/>
      <c r="L167"/>
      <c r="M167"/>
      <c r="N167"/>
      <c r="O167"/>
      <c r="P167"/>
      <c r="Q167"/>
      <c r="R167"/>
      <c r="S167"/>
      <c r="T167"/>
      <c r="U167"/>
      <c r="V167" s="259"/>
      <c r="W167" s="257"/>
      <c r="X167"/>
      <c r="Y167" s="257"/>
      <c r="Z167" s="32"/>
      <c r="AA167" s="32"/>
      <c r="AB167" s="32"/>
    </row>
    <row r="168" spans="2:28" ht="14.4" x14ac:dyDescent="0.3">
      <c r="B168" s="195" t="s">
        <v>155</v>
      </c>
      <c r="C168" s="32"/>
      <c r="D168" s="32"/>
      <c r="E168" s="32"/>
      <c r="F168" s="32"/>
      <c r="G168" s="32"/>
      <c r="H168" s="32"/>
      <c r="I168" s="259"/>
      <c r="J168" s="259"/>
      <c r="K168"/>
      <c r="L168"/>
      <c r="M168"/>
      <c r="N168"/>
      <c r="O168"/>
      <c r="P168"/>
      <c r="Q168"/>
      <c r="R168"/>
      <c r="S168"/>
      <c r="T168"/>
      <c r="U168"/>
      <c r="V168" s="259"/>
      <c r="W168" s="32"/>
      <c r="X168"/>
      <c r="Y168" s="32"/>
      <c r="Z168" s="32"/>
      <c r="AA168" s="32"/>
      <c r="AB168" s="32"/>
    </row>
    <row r="169" spans="2:28" ht="14.4" x14ac:dyDescent="0.3">
      <c r="C169" s="32"/>
      <c r="D169" s="32"/>
      <c r="E169" s="32"/>
      <c r="F169" s="32"/>
      <c r="G169" s="32"/>
      <c r="H169" s="32"/>
      <c r="I169" s="259"/>
      <c r="J169" s="259"/>
      <c r="K169"/>
      <c r="L169"/>
      <c r="M169"/>
      <c r="N169"/>
      <c r="O169"/>
      <c r="P169"/>
      <c r="Q169"/>
      <c r="R169"/>
      <c r="S169"/>
      <c r="T169"/>
      <c r="U169"/>
      <c r="V169" s="259"/>
      <c r="W169" s="257"/>
      <c r="X169"/>
      <c r="Y169" s="257"/>
      <c r="Z169" s="32"/>
      <c r="AA169" s="32"/>
      <c r="AB169" s="32"/>
    </row>
    <row r="170" spans="2:28" ht="14.4" x14ac:dyDescent="0.3">
      <c r="B170" s="195" t="s">
        <v>156</v>
      </c>
      <c r="C170" s="32"/>
      <c r="D170" s="32"/>
      <c r="E170" s="32"/>
      <c r="F170" s="32"/>
      <c r="G170" s="32"/>
      <c r="H170" s="32"/>
      <c r="I170" s="260"/>
      <c r="J170" s="259"/>
      <c r="K170"/>
      <c r="L170"/>
      <c r="M170"/>
      <c r="N170"/>
      <c r="O170"/>
      <c r="P170"/>
      <c r="Q170"/>
      <c r="R170"/>
      <c r="S170"/>
      <c r="T170"/>
      <c r="U170"/>
      <c r="V170" s="259"/>
      <c r="W170" s="32"/>
      <c r="X170"/>
      <c r="Y170" s="32"/>
      <c r="Z170" s="32"/>
      <c r="AA170" s="32"/>
      <c r="AB170" s="32"/>
    </row>
    <row r="171" spans="2:28" ht="14.4" x14ac:dyDescent="0.3">
      <c r="C171" s="32"/>
      <c r="D171" s="32"/>
      <c r="E171" s="32"/>
      <c r="F171" s="32"/>
      <c r="G171" s="32"/>
      <c r="H171" s="32"/>
      <c r="I171" s="259"/>
      <c r="J171" s="259"/>
      <c r="K171"/>
      <c r="L171"/>
      <c r="M171"/>
      <c r="N171"/>
      <c r="O171"/>
      <c r="P171"/>
      <c r="Q171"/>
      <c r="R171"/>
      <c r="S171"/>
      <c r="T171"/>
      <c r="U171"/>
      <c r="V171" s="259"/>
      <c r="W171" s="257"/>
      <c r="X171"/>
      <c r="Y171" s="257"/>
      <c r="Z171" s="257"/>
      <c r="AA171" s="257"/>
      <c r="AB171" s="32"/>
    </row>
    <row r="172" spans="2:28" ht="14.4" x14ac:dyDescent="0.3">
      <c r="B172" s="136"/>
      <c r="C172" s="32"/>
      <c r="D172" s="32"/>
      <c r="E172" s="32"/>
      <c r="F172" s="32"/>
      <c r="G172" s="32"/>
      <c r="H172" s="32"/>
      <c r="I172" s="259"/>
      <c r="J172" s="259"/>
      <c r="K172"/>
      <c r="L172"/>
      <c r="M172"/>
      <c r="N172"/>
      <c r="O172"/>
      <c r="P172"/>
      <c r="Q172"/>
      <c r="R172"/>
      <c r="S172"/>
      <c r="T172"/>
      <c r="U172"/>
      <c r="V172" s="259"/>
      <c r="W172" s="32"/>
      <c r="X172"/>
      <c r="Y172" s="32"/>
      <c r="Z172" s="32"/>
      <c r="AA172" s="32"/>
      <c r="AB172" s="32"/>
    </row>
    <row r="173" spans="2:28" ht="14.4" x14ac:dyDescent="0.3">
      <c r="B173" s="136"/>
      <c r="C173" s="32"/>
      <c r="D173" s="32"/>
      <c r="E173" s="32"/>
      <c r="F173" s="32"/>
      <c r="G173" s="32"/>
      <c r="H173" s="32"/>
      <c r="I173" s="259"/>
      <c r="J173" s="259"/>
      <c r="K173"/>
      <c r="L173"/>
      <c r="M173"/>
      <c r="N173"/>
      <c r="O173"/>
      <c r="P173"/>
      <c r="Q173"/>
      <c r="R173"/>
      <c r="S173"/>
      <c r="T173"/>
      <c r="U173"/>
      <c r="V173" s="259"/>
      <c r="W173" s="32"/>
      <c r="X173"/>
      <c r="Y173" s="32"/>
      <c r="Z173" s="32"/>
      <c r="AA173" s="32"/>
      <c r="AB173" s="32"/>
    </row>
    <row r="174" spans="2:28" ht="14.4" x14ac:dyDescent="0.3">
      <c r="B174" s="136"/>
      <c r="C174" s="32"/>
      <c r="D174" s="32"/>
      <c r="E174" s="32"/>
      <c r="F174" s="32"/>
      <c r="G174" s="32"/>
      <c r="H174" s="32"/>
      <c r="I174" s="259"/>
      <c r="J174" s="259"/>
      <c r="K174"/>
      <c r="L174"/>
      <c r="M174"/>
      <c r="N174"/>
      <c r="O174"/>
      <c r="P174"/>
      <c r="Q174"/>
      <c r="R174"/>
      <c r="S174"/>
      <c r="T174"/>
      <c r="U174"/>
      <c r="V174" s="259"/>
      <c r="W174" s="32"/>
      <c r="X174"/>
      <c r="Y174" s="32"/>
      <c r="Z174" s="32"/>
      <c r="AA174" s="32"/>
      <c r="AB174" s="32"/>
    </row>
    <row r="175" spans="2:28" ht="14.4" x14ac:dyDescent="0.3">
      <c r="B175" s="136"/>
      <c r="C175" s="32"/>
      <c r="D175" s="32"/>
      <c r="E175" s="32"/>
      <c r="F175" s="32"/>
      <c r="G175" s="32"/>
      <c r="H175" s="32"/>
      <c r="I175" s="259"/>
      <c r="J175" s="259"/>
      <c r="K175"/>
      <c r="L175"/>
      <c r="M175"/>
      <c r="N175"/>
      <c r="O175"/>
      <c r="P175"/>
      <c r="Q175"/>
      <c r="R175"/>
      <c r="S175"/>
      <c r="T175"/>
      <c r="U175"/>
      <c r="V175" s="259"/>
      <c r="W175" s="32"/>
      <c r="X175"/>
      <c r="Y175" s="32"/>
      <c r="Z175" s="32"/>
      <c r="AA175" s="32"/>
      <c r="AB175" s="32"/>
    </row>
    <row r="176" spans="2:28" ht="14.4" x14ac:dyDescent="0.3">
      <c r="B176" s="136"/>
      <c r="C176" s="32"/>
      <c r="D176" s="32"/>
      <c r="E176" s="32"/>
      <c r="F176" s="32"/>
      <c r="G176" s="32"/>
      <c r="H176" s="32"/>
      <c r="I176" s="259"/>
      <c r="J176" s="259"/>
      <c r="K176"/>
      <c r="L176"/>
      <c r="M176"/>
      <c r="N176"/>
      <c r="O176"/>
      <c r="P176"/>
      <c r="Q176"/>
      <c r="R176"/>
      <c r="S176"/>
      <c r="T176"/>
      <c r="U176"/>
      <c r="V176" s="259"/>
      <c r="W176" s="32"/>
      <c r="X176" s="32"/>
      <c r="Y176" s="32"/>
      <c r="Z176" s="32"/>
      <c r="AA176" s="32"/>
      <c r="AB176" s="32"/>
    </row>
    <row r="177" spans="9:22" ht="14.4" x14ac:dyDescent="0.3">
      <c r="I177" s="259"/>
      <c r="J177" s="259"/>
      <c r="K177"/>
      <c r="L177"/>
      <c r="M177"/>
      <c r="N177"/>
      <c r="O177"/>
      <c r="P177"/>
      <c r="Q177"/>
      <c r="R177"/>
      <c r="S177"/>
      <c r="T177"/>
      <c r="U177"/>
      <c r="V177" s="259"/>
    </row>
    <row r="178" spans="9:22" ht="14.4" x14ac:dyDescent="0.3">
      <c r="I178" s="259"/>
      <c r="J178" s="259"/>
      <c r="K178"/>
      <c r="L178"/>
      <c r="M178"/>
      <c r="N178"/>
      <c r="O178"/>
      <c r="P178"/>
      <c r="Q178"/>
      <c r="R178"/>
      <c r="S178"/>
      <c r="T178"/>
      <c r="U178"/>
      <c r="V178" s="259"/>
    </row>
    <row r="179" spans="9:22" ht="14.4" x14ac:dyDescent="0.3">
      <c r="I179" s="259"/>
      <c r="J179" s="259"/>
      <c r="K179"/>
      <c r="L179"/>
      <c r="M179"/>
      <c r="N179"/>
      <c r="O179"/>
      <c r="P179"/>
      <c r="Q179"/>
      <c r="R179"/>
      <c r="S179"/>
      <c r="T179"/>
      <c r="U179"/>
      <c r="V179" s="259"/>
    </row>
    <row r="180" spans="9:22" ht="14.4" x14ac:dyDescent="0.3">
      <c r="I180" s="259"/>
      <c r="J180" s="259"/>
      <c r="K180"/>
      <c r="L180"/>
      <c r="M180"/>
      <c r="N180"/>
      <c r="O180"/>
      <c r="P180"/>
      <c r="Q180"/>
      <c r="R180"/>
      <c r="S180"/>
      <c r="T180"/>
      <c r="U180"/>
      <c r="V180" s="259"/>
    </row>
    <row r="181" spans="9:22" ht="14.4" x14ac:dyDescent="0.3">
      <c r="I181" s="259"/>
      <c r="J181" s="259"/>
      <c r="K181"/>
      <c r="L181"/>
      <c r="M181"/>
      <c r="N181"/>
      <c r="O181"/>
      <c r="P181"/>
      <c r="Q181"/>
      <c r="R181"/>
      <c r="S181"/>
      <c r="T181"/>
      <c r="U181"/>
      <c r="V181" s="259"/>
    </row>
    <row r="182" spans="9:22" ht="14.4" x14ac:dyDescent="0.3">
      <c r="I182" s="259"/>
      <c r="J182" s="259"/>
      <c r="K182"/>
      <c r="L182"/>
      <c r="M182"/>
      <c r="N182"/>
      <c r="O182"/>
      <c r="P182"/>
      <c r="Q182"/>
      <c r="R182"/>
      <c r="S182"/>
      <c r="T182"/>
      <c r="U182"/>
      <c r="V182" s="259"/>
    </row>
    <row r="183" spans="9:22" ht="14.4" x14ac:dyDescent="0.3"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</row>
    <row r="184" spans="9:22" ht="14.4" x14ac:dyDescent="0.3"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59"/>
      <c r="V184" s="259"/>
    </row>
    <row r="185" spans="9:22" ht="14.4" x14ac:dyDescent="0.3"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59"/>
      <c r="V185" s="259"/>
    </row>
    <row r="186" spans="9:22" ht="14.4" x14ac:dyDescent="0.3"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</row>
    <row r="187" spans="9:22" ht="14.4" x14ac:dyDescent="0.3"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</row>
  </sheetData>
  <mergeCells count="3">
    <mergeCell ref="N6:O6"/>
    <mergeCell ref="V6:W6"/>
    <mergeCell ref="I2:T2"/>
  </mergeCells>
  <conditionalFormatting sqref="Z95:AB9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5A27-32C9-4EEE-A209-CDC7F4C17347}">
  <dimension ref="A1:G26"/>
  <sheetViews>
    <sheetView workbookViewId="0">
      <selection sqref="A1:G1"/>
    </sheetView>
  </sheetViews>
  <sheetFormatPr defaultRowHeight="14.4" x14ac:dyDescent="0.3"/>
  <cols>
    <col min="1" max="1" width="35.6640625" customWidth="1"/>
    <col min="2" max="7" width="20.77734375" customWidth="1"/>
  </cols>
  <sheetData>
    <row r="1" spans="1:7" ht="23.4" x14ac:dyDescent="0.45">
      <c r="A1" s="423" t="s">
        <v>139</v>
      </c>
      <c r="B1" s="423"/>
      <c r="C1" s="423"/>
      <c r="D1" s="423"/>
      <c r="E1" s="423"/>
      <c r="F1" s="423"/>
      <c r="G1" s="423"/>
    </row>
    <row r="2" spans="1:7" ht="18" x14ac:dyDescent="0.35">
      <c r="A2" s="424" t="s">
        <v>140</v>
      </c>
      <c r="B2" s="424"/>
      <c r="C2" s="424"/>
      <c r="D2" s="424"/>
      <c r="E2" s="424"/>
      <c r="F2" s="424"/>
      <c r="G2" s="424"/>
    </row>
    <row r="3" spans="1:7" ht="18" x14ac:dyDescent="0.35">
      <c r="A3" s="424" t="s">
        <v>141</v>
      </c>
      <c r="B3" s="424"/>
      <c r="C3" s="424"/>
      <c r="D3" s="424"/>
      <c r="E3" s="424"/>
      <c r="F3" s="424"/>
      <c r="G3" s="424"/>
    </row>
    <row r="6" spans="1:7" x14ac:dyDescent="0.3">
      <c r="B6" s="340" t="s">
        <v>12</v>
      </c>
      <c r="C6" s="340" t="s">
        <v>74</v>
      </c>
      <c r="D6" s="340" t="s">
        <v>81</v>
      </c>
      <c r="E6" s="340" t="s">
        <v>145</v>
      </c>
      <c r="F6" s="340" t="s">
        <v>88</v>
      </c>
      <c r="G6" s="340" t="s">
        <v>86</v>
      </c>
    </row>
    <row r="8" spans="1:7" x14ac:dyDescent="0.3">
      <c r="A8" t="s">
        <v>142</v>
      </c>
    </row>
    <row r="9" spans="1:7" x14ac:dyDescent="0.3">
      <c r="A9" s="353" t="s">
        <v>143</v>
      </c>
      <c r="B9" s="308">
        <v>15172576.639999997</v>
      </c>
      <c r="C9" s="308">
        <v>14951511.709999993</v>
      </c>
      <c r="D9" s="308">
        <v>15175978.139999995</v>
      </c>
      <c r="E9" s="308">
        <v>16112980.300777815</v>
      </c>
      <c r="F9" s="308">
        <v>12835010.973172545</v>
      </c>
      <c r="G9" s="308">
        <v>14525114.8470969</v>
      </c>
    </row>
    <row r="10" spans="1:7" x14ac:dyDescent="0.3">
      <c r="A10" s="353" t="s">
        <v>122</v>
      </c>
      <c r="B10" s="309">
        <v>6197168.3800000008</v>
      </c>
      <c r="C10" s="309">
        <v>6479091.6000000015</v>
      </c>
      <c r="D10" s="309">
        <v>6482426.0900000017</v>
      </c>
      <c r="E10" s="309">
        <v>6874206.121775589</v>
      </c>
      <c r="F10" s="309">
        <v>6460415.8451525476</v>
      </c>
      <c r="G10" s="309">
        <v>7002122.7842578404</v>
      </c>
    </row>
    <row r="11" spans="1:7" x14ac:dyDescent="0.3">
      <c r="A11" s="353" t="s">
        <v>123</v>
      </c>
      <c r="B11" s="309">
        <v>250</v>
      </c>
      <c r="C11" s="309">
        <v>2056</v>
      </c>
      <c r="D11" s="309">
        <v>40153.129999999997</v>
      </c>
      <c r="E11" s="309">
        <v>51358.304835443167</v>
      </c>
      <c r="F11" s="309">
        <v>48270.573224369313</v>
      </c>
      <c r="G11" s="309">
        <v>75866.482958282795</v>
      </c>
    </row>
    <row r="12" spans="1:7" x14ac:dyDescent="0.3">
      <c r="A12" s="353" t="s">
        <v>146</v>
      </c>
      <c r="B12" s="309">
        <v>166329.56000000003</v>
      </c>
      <c r="C12" s="309">
        <v>76866.59</v>
      </c>
      <c r="D12" s="309">
        <v>65937.960000000006</v>
      </c>
      <c r="E12" s="309">
        <v>119424.30876641029</v>
      </c>
      <c r="F12" s="309">
        <v>52801.405362363075</v>
      </c>
      <c r="G12" s="309">
        <v>50666.033932602055</v>
      </c>
    </row>
    <row r="13" spans="1:7" x14ac:dyDescent="0.3">
      <c r="A13" s="353" t="s">
        <v>124</v>
      </c>
      <c r="B13" s="310">
        <v>1472986.3000000005</v>
      </c>
      <c r="C13" s="310">
        <v>1757209.5800000003</v>
      </c>
      <c r="D13" s="310">
        <v>1567740.83</v>
      </c>
      <c r="E13" s="310">
        <v>1555834.4360590931</v>
      </c>
      <c r="F13" s="310">
        <v>1352746.357108155</v>
      </c>
      <c r="G13" s="310">
        <v>2109111.1594599402</v>
      </c>
    </row>
    <row r="14" spans="1:7" x14ac:dyDescent="0.3">
      <c r="A14" s="353"/>
      <c r="B14" s="309"/>
      <c r="C14" s="309"/>
      <c r="D14" s="309"/>
      <c r="E14" s="309"/>
      <c r="F14" s="309"/>
      <c r="G14" s="309"/>
    </row>
    <row r="15" spans="1:7" ht="15" thickBot="1" x14ac:dyDescent="0.35">
      <c r="A15" s="353"/>
      <c r="B15" s="307">
        <f>SUM(B9:B14)</f>
        <v>23009310.879999995</v>
      </c>
      <c r="C15" s="307">
        <f t="shared" ref="C15:D15" si="0">SUM(C9:C14)</f>
        <v>23266735.479999997</v>
      </c>
      <c r="D15" s="307">
        <f t="shared" si="0"/>
        <v>23332236.149999999</v>
      </c>
      <c r="E15" s="307">
        <f t="shared" ref="E15" si="1">SUM(E9:E14)</f>
        <v>24713803.472214349</v>
      </c>
      <c r="F15" s="307">
        <f t="shared" ref="F15" si="2">SUM(F9:F14)</f>
        <v>20749245.154019982</v>
      </c>
      <c r="G15" s="307">
        <f t="shared" ref="G15" si="3">SUM(G9:G14)</f>
        <v>23762881.30770557</v>
      </c>
    </row>
    <row r="16" spans="1:7" ht="15" thickTop="1" x14ac:dyDescent="0.3"/>
    <row r="17" spans="1:7" ht="15" thickBot="1" x14ac:dyDescent="0.35">
      <c r="A17" s="354" t="s">
        <v>144</v>
      </c>
      <c r="B17" s="355">
        <f>+B15/+'Spring 2021'!I21</f>
        <v>0.47141893337831436</v>
      </c>
      <c r="C17" s="355">
        <f>+C15/+'Spring 2021'!K21</f>
        <v>0.43742229112970754</v>
      </c>
      <c r="D17" s="355">
        <f>+D15/'Spring 2021'!S21</f>
        <v>0.46966401759658427</v>
      </c>
      <c r="E17" s="355">
        <f>+E15/49862764.76</f>
        <v>0.49563644517441213</v>
      </c>
      <c r="F17" s="355">
        <f>+F15/'Spring 2021'!U21</f>
        <v>0.5202851800142434</v>
      </c>
      <c r="G17" s="366">
        <f>+G15/+'Spring 2021'!X21</f>
        <v>0.53950369710975288</v>
      </c>
    </row>
    <row r="18" spans="1:7" ht="15" thickTop="1" x14ac:dyDescent="0.3"/>
    <row r="20" spans="1:7" ht="15" thickBot="1" x14ac:dyDescent="0.35">
      <c r="A20" s="357" t="s">
        <v>148</v>
      </c>
      <c r="B20" s="365">
        <v>0.4</v>
      </c>
      <c r="E20" t="s">
        <v>3</v>
      </c>
    </row>
    <row r="21" spans="1:7" ht="15" thickTop="1" x14ac:dyDescent="0.3">
      <c r="A21" s="324"/>
      <c r="B21" s="356"/>
    </row>
    <row r="22" spans="1:7" x14ac:dyDescent="0.3">
      <c r="A22" s="324"/>
      <c r="B22" s="356"/>
    </row>
    <row r="23" spans="1:7" x14ac:dyDescent="0.3">
      <c r="A23" t="s">
        <v>149</v>
      </c>
    </row>
    <row r="26" spans="1:7" x14ac:dyDescent="0.3">
      <c r="A26" t="s">
        <v>147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2C6F5-18CC-4898-B83F-D1F748AEF438}">
  <sheetPr>
    <pageSetUpPr fitToPage="1"/>
  </sheetPr>
  <dimension ref="B17:J45"/>
  <sheetViews>
    <sheetView zoomScale="90" zoomScaleNormal="90" workbookViewId="0"/>
  </sheetViews>
  <sheetFormatPr defaultRowHeight="14.4" x14ac:dyDescent="0.3"/>
  <cols>
    <col min="10" max="10" width="15.109375" bestFit="1" customWidth="1"/>
  </cols>
  <sheetData>
    <row r="17" spans="2:2" x14ac:dyDescent="0.3">
      <c r="B17" t="s">
        <v>3</v>
      </c>
    </row>
    <row r="33" spans="9:10" x14ac:dyDescent="0.3">
      <c r="I33" s="343" t="s">
        <v>125</v>
      </c>
      <c r="J33" s="344">
        <f>+'Spring 2021'!X10</f>
        <v>9278657</v>
      </c>
    </row>
    <row r="34" spans="9:10" x14ac:dyDescent="0.3">
      <c r="I34" s="343" t="s">
        <v>120</v>
      </c>
      <c r="J34" s="344">
        <f>+'Spring 2021'!X11</f>
        <v>8376475</v>
      </c>
    </row>
    <row r="35" spans="9:10" x14ac:dyDescent="0.3">
      <c r="I35" s="343" t="s">
        <v>121</v>
      </c>
      <c r="J35" s="344">
        <f>+'Spring 2021'!X12</f>
        <v>4255792</v>
      </c>
    </row>
    <row r="36" spans="9:10" x14ac:dyDescent="0.3">
      <c r="I36" s="343" t="s">
        <v>122</v>
      </c>
      <c r="J36" s="344">
        <f>+'Spring 2021'!X13</f>
        <v>12574660.92</v>
      </c>
    </row>
    <row r="37" spans="9:10" x14ac:dyDescent="0.3">
      <c r="I37" s="343" t="s">
        <v>123</v>
      </c>
      <c r="J37" s="344">
        <f>+'Spring 2021'!X14</f>
        <v>501149</v>
      </c>
    </row>
    <row r="38" spans="9:10" x14ac:dyDescent="0.3">
      <c r="I38" s="343" t="s">
        <v>124</v>
      </c>
      <c r="J38" s="344">
        <f>+'Spring 2021'!X15</f>
        <v>3751711.43956374</v>
      </c>
    </row>
    <row r="39" spans="9:10" x14ac:dyDescent="0.3">
      <c r="I39" s="343" t="s">
        <v>27</v>
      </c>
      <c r="J39" s="344">
        <f>+'Spring 2021'!X16</f>
        <v>1275129</v>
      </c>
    </row>
    <row r="40" spans="9:10" x14ac:dyDescent="0.3">
      <c r="I40" s="343" t="s">
        <v>89</v>
      </c>
      <c r="J40" s="344">
        <f>+'Spring 2021'!X17</f>
        <v>3000000</v>
      </c>
    </row>
    <row r="41" spans="9:10" x14ac:dyDescent="0.3">
      <c r="I41" s="343" t="s">
        <v>90</v>
      </c>
      <c r="J41" s="344">
        <f>+'Spring 2021'!X18</f>
        <v>675989</v>
      </c>
    </row>
    <row r="42" spans="9:10" x14ac:dyDescent="0.3">
      <c r="I42" s="343" t="s">
        <v>77</v>
      </c>
      <c r="J42" s="344">
        <f>+'Spring 2021'!X19</f>
        <v>356254</v>
      </c>
    </row>
    <row r="43" spans="9:10" x14ac:dyDescent="0.3">
      <c r="I43" s="342"/>
      <c r="J43" s="342"/>
    </row>
    <row r="44" spans="9:10" x14ac:dyDescent="0.3">
      <c r="I44" s="342"/>
      <c r="J44" s="342"/>
    </row>
    <row r="45" spans="9:10" x14ac:dyDescent="0.3">
      <c r="I45" s="342"/>
      <c r="J45" s="342"/>
    </row>
  </sheetData>
  <pageMargins left="0.7" right="0.7" top="0.75" bottom="0.75" header="0.3" footer="0.3"/>
  <pageSetup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A118-44F3-4CB7-945A-26E7E4D459AB}">
  <dimension ref="A2:L46"/>
  <sheetViews>
    <sheetView workbookViewId="0">
      <pane xSplit="2" ySplit="7" topLeftCell="C8" activePane="bottomRight" state="frozen"/>
      <selection sqref="A1:G1"/>
      <selection pane="topRight" sqref="A1:G1"/>
      <selection pane="bottomLeft" sqref="A1:G1"/>
      <selection pane="bottomRight" activeCell="C8" sqref="C8"/>
    </sheetView>
  </sheetViews>
  <sheetFormatPr defaultRowHeight="14.4" x14ac:dyDescent="0.3"/>
  <cols>
    <col min="1" max="1" width="18.6640625" customWidth="1"/>
    <col min="2" max="2" width="63.88671875" customWidth="1"/>
    <col min="3" max="12" width="15.77734375" customWidth="1"/>
  </cols>
  <sheetData>
    <row r="2" spans="1:12" ht="22.8" x14ac:dyDescent="0.4">
      <c r="A2" s="1" t="s">
        <v>82</v>
      </c>
      <c r="B2" s="1"/>
    </row>
    <row r="3" spans="1:12" ht="21" x14ac:dyDescent="0.4">
      <c r="A3" s="7" t="s">
        <v>1</v>
      </c>
      <c r="B3" s="7"/>
    </row>
    <row r="4" spans="1:12" ht="15.6" x14ac:dyDescent="0.3">
      <c r="A4" s="15" t="s">
        <v>83</v>
      </c>
      <c r="B4" s="15"/>
    </row>
    <row r="7" spans="1:12" x14ac:dyDescent="0.3">
      <c r="C7" s="340" t="str">
        <f>+'[2]Spring 2021 - old version'!I7</f>
        <v>Actual 2017</v>
      </c>
      <c r="D7" s="340" t="str">
        <f>+'[2]Spring 2021 - old version'!K7</f>
        <v xml:space="preserve">Actual 2018  </v>
      </c>
      <c r="E7" s="340" t="str">
        <f>+'[2]Spring 2021 - old version'!S7</f>
        <v>Actual 2019</v>
      </c>
      <c r="F7" s="340" t="str">
        <f>+'[2]Spring 2021 - old version'!T7</f>
        <v>Projections 2020</v>
      </c>
      <c r="G7" s="340" t="str">
        <f>+'[2]Spring 2021 - old version'!U7</f>
        <v>Budget 2021</v>
      </c>
      <c r="H7" s="340" t="str">
        <f>+'[2]Spring 2021 - old version'!X7</f>
        <v>Budget 2022</v>
      </c>
      <c r="I7" s="340" t="str">
        <f>+'[2]Spring 2021 - old version'!Y7</f>
        <v>Plan 2023</v>
      </c>
      <c r="J7" s="340" t="str">
        <f>+'[2]Spring 2021 - old version'!Z7</f>
        <v>Plan 2024</v>
      </c>
      <c r="K7" s="340" t="str">
        <f>+'[2]Spring 2021 - old version'!AA7</f>
        <v>Plan 2025</v>
      </c>
      <c r="L7" s="340" t="str">
        <f>+'[2]Spring 2021 - old version'!AB7</f>
        <v>Plan 2026</v>
      </c>
    </row>
    <row r="9" spans="1:12" x14ac:dyDescent="0.3">
      <c r="A9" s="341" t="s">
        <v>102</v>
      </c>
      <c r="B9" s="341"/>
    </row>
    <row r="10" spans="1:12" x14ac:dyDescent="0.3">
      <c r="A10" s="362" t="s">
        <v>92</v>
      </c>
      <c r="B10" s="363" t="s">
        <v>103</v>
      </c>
      <c r="C10" s="345">
        <v>455506.97</v>
      </c>
      <c r="D10" s="345">
        <v>1652454.57</v>
      </c>
      <c r="E10" s="345">
        <v>421232.6</v>
      </c>
      <c r="F10" s="345">
        <v>1818252.5</v>
      </c>
      <c r="G10" s="345">
        <v>422090</v>
      </c>
      <c r="H10" s="345">
        <v>1545930</v>
      </c>
      <c r="I10" s="345">
        <f>+G10</f>
        <v>422090</v>
      </c>
      <c r="J10" s="345">
        <f>+H10</f>
        <v>1545930</v>
      </c>
      <c r="K10" s="345">
        <f>+I10</f>
        <v>422090</v>
      </c>
      <c r="L10" s="345">
        <f>+J10</f>
        <v>1545930</v>
      </c>
    </row>
    <row r="11" spans="1:12" x14ac:dyDescent="0.3">
      <c r="A11" s="362" t="s">
        <v>93</v>
      </c>
      <c r="B11" s="363" t="s">
        <v>105</v>
      </c>
      <c r="C11" s="360">
        <v>5368999.2400000002</v>
      </c>
      <c r="D11" s="360">
        <v>2691183.12</v>
      </c>
      <c r="E11" s="360">
        <v>5115731.3099999996</v>
      </c>
      <c r="F11" s="360">
        <v>1780274</v>
      </c>
      <c r="G11" s="360">
        <v>3889775</v>
      </c>
      <c r="H11" s="360">
        <v>2071376</v>
      </c>
      <c r="I11" s="360">
        <f>+G11</f>
        <v>3889775</v>
      </c>
      <c r="J11" s="360">
        <f t="shared" ref="J11:L19" si="0">+H11</f>
        <v>2071376</v>
      </c>
      <c r="K11" s="360">
        <f>+I11</f>
        <v>3889775</v>
      </c>
      <c r="L11" s="360">
        <f t="shared" si="0"/>
        <v>2071376</v>
      </c>
    </row>
    <row r="12" spans="1:12" x14ac:dyDescent="0.3">
      <c r="A12" s="362" t="s">
        <v>94</v>
      </c>
      <c r="B12" s="363" t="s">
        <v>104</v>
      </c>
      <c r="C12" s="360">
        <v>1602279.71</v>
      </c>
      <c r="D12" s="360">
        <v>2086863.26</v>
      </c>
      <c r="E12" s="360">
        <v>2028593.41</v>
      </c>
      <c r="F12" s="360">
        <v>1415330</v>
      </c>
      <c r="G12" s="360">
        <v>1467119.96</v>
      </c>
      <c r="H12" s="360">
        <v>1431603.92</v>
      </c>
      <c r="I12" s="360">
        <f t="shared" ref="I12:I19" si="1">+G12</f>
        <v>1467119.96</v>
      </c>
      <c r="J12" s="360">
        <f t="shared" si="0"/>
        <v>1431603.92</v>
      </c>
      <c r="K12" s="360">
        <f t="shared" ref="K12:K19" si="2">+I12</f>
        <v>1467119.96</v>
      </c>
      <c r="L12" s="360">
        <f t="shared" si="0"/>
        <v>1431603.92</v>
      </c>
    </row>
    <row r="13" spans="1:12" x14ac:dyDescent="0.3">
      <c r="A13" s="362" t="s">
        <v>95</v>
      </c>
      <c r="B13" s="363" t="s">
        <v>111</v>
      </c>
      <c r="C13" s="360">
        <v>58093.88</v>
      </c>
      <c r="D13" s="360">
        <v>68926.14</v>
      </c>
      <c r="E13" s="360">
        <v>90018</v>
      </c>
      <c r="F13" s="360">
        <v>101754</v>
      </c>
      <c r="G13" s="360">
        <v>36710.04</v>
      </c>
      <c r="H13" s="360">
        <v>0</v>
      </c>
      <c r="I13" s="360">
        <f t="shared" si="1"/>
        <v>36710.04</v>
      </c>
      <c r="J13" s="360">
        <f t="shared" si="0"/>
        <v>0</v>
      </c>
      <c r="K13" s="360">
        <f t="shared" si="2"/>
        <v>36710.04</v>
      </c>
      <c r="L13" s="360">
        <f t="shared" si="0"/>
        <v>0</v>
      </c>
    </row>
    <row r="14" spans="1:12" x14ac:dyDescent="0.3">
      <c r="A14" s="362" t="s">
        <v>96</v>
      </c>
      <c r="B14" s="363" t="s">
        <v>110</v>
      </c>
      <c r="C14" s="360">
        <v>2940494.04</v>
      </c>
      <c r="D14" s="360">
        <v>2813282.75</v>
      </c>
      <c r="E14" s="360">
        <v>2520863.36</v>
      </c>
      <c r="F14" s="360">
        <v>2381066.1</v>
      </c>
      <c r="G14" s="360">
        <v>2382518.6666666698</v>
      </c>
      <c r="H14" s="360">
        <v>2236928</v>
      </c>
      <c r="I14" s="360">
        <f t="shared" si="1"/>
        <v>2382518.6666666698</v>
      </c>
      <c r="J14" s="360">
        <f t="shared" si="0"/>
        <v>2236928</v>
      </c>
      <c r="K14" s="360">
        <f t="shared" si="2"/>
        <v>2382518.6666666698</v>
      </c>
      <c r="L14" s="360">
        <f t="shared" si="0"/>
        <v>2236928</v>
      </c>
    </row>
    <row r="15" spans="1:12" x14ac:dyDescent="0.3">
      <c r="A15" s="362" t="s">
        <v>101</v>
      </c>
      <c r="B15" s="363" t="s">
        <v>112</v>
      </c>
      <c r="C15" s="360">
        <v>1218661</v>
      </c>
      <c r="D15" s="360">
        <v>1169683.3700000001</v>
      </c>
      <c r="E15" s="360">
        <v>1066873.1100000001</v>
      </c>
      <c r="F15" s="360">
        <v>762681</v>
      </c>
      <c r="G15" s="360">
        <v>997382</v>
      </c>
      <c r="H15" s="360">
        <v>885300</v>
      </c>
      <c r="I15" s="360">
        <f t="shared" si="1"/>
        <v>997382</v>
      </c>
      <c r="J15" s="360">
        <f t="shared" si="0"/>
        <v>885300</v>
      </c>
      <c r="K15" s="360">
        <f t="shared" si="2"/>
        <v>997382</v>
      </c>
      <c r="L15" s="360">
        <f t="shared" si="0"/>
        <v>885300</v>
      </c>
    </row>
    <row r="16" spans="1:12" x14ac:dyDescent="0.3">
      <c r="A16" s="362" t="s">
        <v>97</v>
      </c>
      <c r="B16" s="363" t="s">
        <v>106</v>
      </c>
      <c r="C16" s="360">
        <v>931671.29</v>
      </c>
      <c r="D16" s="360">
        <v>4449518.1500000004</v>
      </c>
      <c r="E16" s="360">
        <v>874736.26</v>
      </c>
      <c r="F16" s="360">
        <v>4954545.75</v>
      </c>
      <c r="G16" s="360">
        <v>771599.99999999895</v>
      </c>
      <c r="H16" s="360">
        <v>2946000</v>
      </c>
      <c r="I16" s="360">
        <f t="shared" si="1"/>
        <v>771599.99999999895</v>
      </c>
      <c r="J16" s="360">
        <f t="shared" si="0"/>
        <v>2946000</v>
      </c>
      <c r="K16" s="360">
        <f t="shared" si="2"/>
        <v>771599.99999999895</v>
      </c>
      <c r="L16" s="360">
        <f t="shared" si="0"/>
        <v>2946000</v>
      </c>
    </row>
    <row r="17" spans="1:12" x14ac:dyDescent="0.3">
      <c r="A17" s="362" t="s">
        <v>98</v>
      </c>
      <c r="B17" s="363" t="s">
        <v>107</v>
      </c>
      <c r="C17" s="360">
        <v>319148.03000000003</v>
      </c>
      <c r="D17" s="360">
        <v>306259.71000000002</v>
      </c>
      <c r="E17" s="360">
        <v>297176.94</v>
      </c>
      <c r="F17" s="360">
        <v>324377.5</v>
      </c>
      <c r="G17" s="360">
        <v>334783</v>
      </c>
      <c r="H17" s="360">
        <v>314250</v>
      </c>
      <c r="I17" s="360">
        <f t="shared" si="1"/>
        <v>334783</v>
      </c>
      <c r="J17" s="360">
        <f t="shared" si="0"/>
        <v>314250</v>
      </c>
      <c r="K17" s="360">
        <f t="shared" si="2"/>
        <v>334783</v>
      </c>
      <c r="L17" s="360">
        <f t="shared" si="0"/>
        <v>314250</v>
      </c>
    </row>
    <row r="18" spans="1:12" x14ac:dyDescent="0.3">
      <c r="A18" s="362" t="s">
        <v>99</v>
      </c>
      <c r="B18" s="363" t="s">
        <v>109</v>
      </c>
      <c r="C18" s="360">
        <v>371012.48</v>
      </c>
      <c r="D18" s="360">
        <v>355719.97</v>
      </c>
      <c r="E18" s="360">
        <v>380269.21</v>
      </c>
      <c r="F18" s="360">
        <v>201855</v>
      </c>
      <c r="G18" s="360">
        <v>340850</v>
      </c>
      <c r="H18" s="360">
        <v>383100</v>
      </c>
      <c r="I18" s="360">
        <f t="shared" si="1"/>
        <v>340850</v>
      </c>
      <c r="J18" s="360">
        <f t="shared" si="0"/>
        <v>383100</v>
      </c>
      <c r="K18" s="360">
        <f t="shared" si="2"/>
        <v>340850</v>
      </c>
      <c r="L18" s="360">
        <f t="shared" si="0"/>
        <v>383100</v>
      </c>
    </row>
    <row r="19" spans="1:12" x14ac:dyDescent="0.3">
      <c r="A19" s="362" t="s">
        <v>100</v>
      </c>
      <c r="B19" s="363" t="s">
        <v>108</v>
      </c>
      <c r="C19" s="361">
        <v>540112.06000000006</v>
      </c>
      <c r="D19" s="361">
        <v>688772.84</v>
      </c>
      <c r="E19" s="361">
        <v>639057.55000000005</v>
      </c>
      <c r="F19" s="361">
        <v>614065</v>
      </c>
      <c r="G19" s="361">
        <v>523815</v>
      </c>
      <c r="H19" s="361">
        <v>760172.99999999895</v>
      </c>
      <c r="I19" s="361">
        <f t="shared" si="1"/>
        <v>523815</v>
      </c>
      <c r="J19" s="361">
        <f t="shared" si="0"/>
        <v>760172.99999999895</v>
      </c>
      <c r="K19" s="361">
        <f t="shared" si="2"/>
        <v>523815</v>
      </c>
      <c r="L19" s="361">
        <f t="shared" si="0"/>
        <v>760172.99999999895</v>
      </c>
    </row>
    <row r="20" spans="1:12" x14ac:dyDescent="0.3">
      <c r="C20" s="342"/>
      <c r="D20" s="342"/>
      <c r="E20" s="342"/>
      <c r="F20" s="342"/>
      <c r="G20" s="342"/>
      <c r="H20" s="342"/>
      <c r="I20" s="342"/>
      <c r="J20" s="342"/>
      <c r="K20" s="342"/>
      <c r="L20" s="342"/>
    </row>
    <row r="21" spans="1:12" x14ac:dyDescent="0.3">
      <c r="A21" s="364" t="s">
        <v>116</v>
      </c>
      <c r="C21" s="360">
        <f t="shared" ref="C21:I21" si="3">SUM(C10:C20)</f>
        <v>13805978.699999999</v>
      </c>
      <c r="D21" s="360">
        <f t="shared" si="3"/>
        <v>16282663.880000003</v>
      </c>
      <c r="E21" s="360">
        <f t="shared" si="3"/>
        <v>13434551.75</v>
      </c>
      <c r="F21" s="360">
        <f t="shared" si="3"/>
        <v>14354200.85</v>
      </c>
      <c r="G21" s="360">
        <f t="shared" si="3"/>
        <v>11166643.666666668</v>
      </c>
      <c r="H21" s="360">
        <f t="shared" si="3"/>
        <v>12574660.919999998</v>
      </c>
      <c r="I21" s="360">
        <f t="shared" si="3"/>
        <v>11166643.666666668</v>
      </c>
      <c r="J21" s="360">
        <f t="shared" ref="J21:L21" si="4">SUM(J10:J20)</f>
        <v>12574660.919999998</v>
      </c>
      <c r="K21" s="360">
        <f t="shared" si="4"/>
        <v>11166643.666666668</v>
      </c>
      <c r="L21" s="360">
        <f t="shared" si="4"/>
        <v>12574660.919999998</v>
      </c>
    </row>
    <row r="22" spans="1:12" x14ac:dyDescent="0.3">
      <c r="C22" s="342"/>
      <c r="D22" s="342"/>
      <c r="E22" s="342"/>
      <c r="F22" s="342"/>
      <c r="G22" s="342"/>
      <c r="H22" s="342"/>
      <c r="I22" s="342"/>
      <c r="J22" s="342"/>
      <c r="K22" s="342"/>
      <c r="L22" s="342"/>
    </row>
    <row r="23" spans="1:12" x14ac:dyDescent="0.3">
      <c r="A23" s="341" t="s">
        <v>115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1:12" x14ac:dyDescent="0.3">
      <c r="A24" s="362" t="s">
        <v>92</v>
      </c>
      <c r="B24" s="363" t="s">
        <v>103</v>
      </c>
      <c r="C24" s="360">
        <v>1050102.1599999999</v>
      </c>
      <c r="D24" s="360">
        <v>1529747.16</v>
      </c>
      <c r="E24" s="360">
        <v>689868.75</v>
      </c>
      <c r="F24" s="360">
        <v>1931441.24</v>
      </c>
      <c r="G24" s="360">
        <v>705250</v>
      </c>
      <c r="H24" s="360">
        <v>1477775.34748419</v>
      </c>
      <c r="I24" s="360">
        <f>+G24</f>
        <v>705250</v>
      </c>
      <c r="J24" s="360">
        <f>+H24</f>
        <v>1477775.34748419</v>
      </c>
      <c r="K24" s="360">
        <f>+I24</f>
        <v>705250</v>
      </c>
      <c r="L24" s="360">
        <f>+J24</f>
        <v>1477775.34748419</v>
      </c>
    </row>
    <row r="25" spans="1:12" x14ac:dyDescent="0.3">
      <c r="A25" s="362" t="s">
        <v>93</v>
      </c>
      <c r="B25" s="363" t="s">
        <v>105</v>
      </c>
      <c r="C25" s="360">
        <v>4820437.6900000004</v>
      </c>
      <c r="D25" s="360">
        <v>3423870.12</v>
      </c>
      <c r="E25" s="360">
        <v>5234167.58</v>
      </c>
      <c r="F25" s="360">
        <v>2780750.44743995</v>
      </c>
      <c r="G25" s="360">
        <v>4466053</v>
      </c>
      <c r="H25" s="360">
        <v>2973798.3927055402</v>
      </c>
      <c r="I25" s="360">
        <f>+G25</f>
        <v>4466053</v>
      </c>
      <c r="J25" s="360">
        <f t="shared" ref="J25:J33" si="5">+H25</f>
        <v>2973798.3927055402</v>
      </c>
      <c r="K25" s="360">
        <f>+I25</f>
        <v>4466053</v>
      </c>
      <c r="L25" s="360">
        <f t="shared" ref="L25:L33" si="6">+J25</f>
        <v>2973798.3927055402</v>
      </c>
    </row>
    <row r="26" spans="1:12" x14ac:dyDescent="0.3">
      <c r="A26" s="362" t="s">
        <v>94</v>
      </c>
      <c r="B26" s="363" t="s">
        <v>104</v>
      </c>
      <c r="C26" s="360">
        <v>1310129.675</v>
      </c>
      <c r="D26" s="360">
        <v>1453441.93</v>
      </c>
      <c r="E26" s="360">
        <v>1723287.31</v>
      </c>
      <c r="F26" s="360">
        <v>1479951.8900000001</v>
      </c>
      <c r="G26" s="360">
        <v>1418250</v>
      </c>
      <c r="H26" s="360">
        <v>1425637.85908096</v>
      </c>
      <c r="I26" s="360">
        <f t="shared" ref="I26:I33" si="7">+G26</f>
        <v>1418250</v>
      </c>
      <c r="J26" s="360">
        <f t="shared" si="5"/>
        <v>1425637.85908096</v>
      </c>
      <c r="K26" s="360">
        <f t="shared" ref="K26:K33" si="8">+I26</f>
        <v>1418250</v>
      </c>
      <c r="L26" s="360">
        <f t="shared" si="6"/>
        <v>1425637.85908096</v>
      </c>
    </row>
    <row r="27" spans="1:12" x14ac:dyDescent="0.3">
      <c r="A27" s="362" t="s">
        <v>95</v>
      </c>
      <c r="B27" s="363" t="s">
        <v>111</v>
      </c>
      <c r="C27" s="360">
        <v>64046.57</v>
      </c>
      <c r="D27" s="360">
        <v>39991.300000000003</v>
      </c>
      <c r="E27" s="360">
        <v>116482.67</v>
      </c>
      <c r="F27" s="360">
        <v>96473.17</v>
      </c>
      <c r="G27" s="360">
        <v>42242</v>
      </c>
      <c r="H27" s="360">
        <v>0</v>
      </c>
      <c r="I27" s="360">
        <f t="shared" si="7"/>
        <v>42242</v>
      </c>
      <c r="J27" s="360">
        <f t="shared" si="5"/>
        <v>0</v>
      </c>
      <c r="K27" s="360">
        <f t="shared" si="8"/>
        <v>42242</v>
      </c>
      <c r="L27" s="360">
        <f t="shared" si="6"/>
        <v>0</v>
      </c>
    </row>
    <row r="28" spans="1:12" x14ac:dyDescent="0.3">
      <c r="A28" s="362" t="s">
        <v>96</v>
      </c>
      <c r="B28" s="363" t="s">
        <v>110</v>
      </c>
      <c r="C28" s="360">
        <v>3055258.43</v>
      </c>
      <c r="D28" s="360">
        <v>2945284.1</v>
      </c>
      <c r="E28" s="360">
        <v>2698853.54</v>
      </c>
      <c r="F28" s="360">
        <v>2531567.48</v>
      </c>
      <c r="G28" s="360">
        <v>2377647</v>
      </c>
      <c r="H28" s="360">
        <v>2458520.7598565598</v>
      </c>
      <c r="I28" s="360">
        <f t="shared" si="7"/>
        <v>2377647</v>
      </c>
      <c r="J28" s="360">
        <f t="shared" si="5"/>
        <v>2458520.7598565598</v>
      </c>
      <c r="K28" s="360">
        <f t="shared" si="8"/>
        <v>2377647</v>
      </c>
      <c r="L28" s="360">
        <f t="shared" si="6"/>
        <v>2458520.7598565598</v>
      </c>
    </row>
    <row r="29" spans="1:12" x14ac:dyDescent="0.3">
      <c r="A29" s="362" t="s">
        <v>101</v>
      </c>
      <c r="B29" s="363" t="s">
        <v>112</v>
      </c>
      <c r="C29" s="360">
        <v>1135264</v>
      </c>
      <c r="D29" s="360">
        <v>1108120.26</v>
      </c>
      <c r="E29" s="360">
        <v>1076949.21</v>
      </c>
      <c r="F29" s="360">
        <v>1054109.48</v>
      </c>
      <c r="G29" s="360">
        <v>1045714</v>
      </c>
      <c r="H29" s="360">
        <v>948941.45955636899</v>
      </c>
      <c r="I29" s="360">
        <f t="shared" si="7"/>
        <v>1045714</v>
      </c>
      <c r="J29" s="360">
        <f t="shared" si="5"/>
        <v>948941.45955636899</v>
      </c>
      <c r="K29" s="360">
        <f t="shared" si="8"/>
        <v>1045714</v>
      </c>
      <c r="L29" s="360">
        <f t="shared" si="6"/>
        <v>948941.45955636899</v>
      </c>
    </row>
    <row r="30" spans="1:12" x14ac:dyDescent="0.3">
      <c r="A30" s="362" t="s">
        <v>97</v>
      </c>
      <c r="B30" s="363" t="s">
        <v>106</v>
      </c>
      <c r="C30" s="360">
        <v>1342396.915</v>
      </c>
      <c r="D30" s="360">
        <v>3636972.74</v>
      </c>
      <c r="E30" s="360">
        <v>1197801.48</v>
      </c>
      <c r="F30" s="360">
        <v>4556268.74</v>
      </c>
      <c r="G30" s="360">
        <v>1336220</v>
      </c>
      <c r="H30" s="360">
        <v>2942516.8915931401</v>
      </c>
      <c r="I30" s="360">
        <f t="shared" si="7"/>
        <v>1336220</v>
      </c>
      <c r="J30" s="360">
        <f t="shared" si="5"/>
        <v>2942516.8915931401</v>
      </c>
      <c r="K30" s="360">
        <f t="shared" si="8"/>
        <v>1336220</v>
      </c>
      <c r="L30" s="360">
        <f t="shared" si="6"/>
        <v>2942516.8915931401</v>
      </c>
    </row>
    <row r="31" spans="1:12" x14ac:dyDescent="0.3">
      <c r="A31" s="362" t="s">
        <v>98</v>
      </c>
      <c r="B31" s="363" t="s">
        <v>107</v>
      </c>
      <c r="C31" s="360">
        <v>412067.7</v>
      </c>
      <c r="D31" s="360">
        <v>406545.73</v>
      </c>
      <c r="E31" s="360">
        <v>349592.62</v>
      </c>
      <c r="F31" s="360">
        <v>375621.37</v>
      </c>
      <c r="G31" s="360">
        <v>378717</v>
      </c>
      <c r="H31" s="360">
        <v>386441.31640092598</v>
      </c>
      <c r="I31" s="360">
        <f t="shared" si="7"/>
        <v>378717</v>
      </c>
      <c r="J31" s="360">
        <f t="shared" si="5"/>
        <v>386441.31640092598</v>
      </c>
      <c r="K31" s="360">
        <f t="shared" si="8"/>
        <v>378717</v>
      </c>
      <c r="L31" s="360">
        <f t="shared" si="6"/>
        <v>386441.31640092598</v>
      </c>
    </row>
    <row r="32" spans="1:12" x14ac:dyDescent="0.3">
      <c r="A32" s="362" t="s">
        <v>99</v>
      </c>
      <c r="B32" s="363" t="s">
        <v>109</v>
      </c>
      <c r="C32" s="360">
        <v>368823.11499999999</v>
      </c>
      <c r="D32" s="360">
        <v>345971.84</v>
      </c>
      <c r="E32" s="360">
        <v>393752.67</v>
      </c>
      <c r="F32" s="360">
        <v>375582.99</v>
      </c>
      <c r="G32" s="360">
        <v>335614</v>
      </c>
      <c r="H32" s="360">
        <v>376295.33889701898</v>
      </c>
      <c r="I32" s="360">
        <f t="shared" si="7"/>
        <v>335614</v>
      </c>
      <c r="J32" s="360">
        <f t="shared" si="5"/>
        <v>376295.33889701898</v>
      </c>
      <c r="K32" s="360">
        <f t="shared" si="8"/>
        <v>335614</v>
      </c>
      <c r="L32" s="360">
        <f t="shared" si="6"/>
        <v>376295.33889701898</v>
      </c>
    </row>
    <row r="33" spans="1:12" x14ac:dyDescent="0.3">
      <c r="A33" s="362" t="s">
        <v>100</v>
      </c>
      <c r="B33" s="363" t="s">
        <v>108</v>
      </c>
      <c r="C33" s="361">
        <v>657798.63</v>
      </c>
      <c r="D33" s="361">
        <v>671856.09</v>
      </c>
      <c r="E33" s="361">
        <v>670307.29</v>
      </c>
      <c r="F33" s="361">
        <v>735910.04</v>
      </c>
      <c r="G33" s="361">
        <v>579793</v>
      </c>
      <c r="H33" s="361">
        <v>615560.60754314205</v>
      </c>
      <c r="I33" s="361">
        <f t="shared" si="7"/>
        <v>579793</v>
      </c>
      <c r="J33" s="361">
        <f t="shared" si="5"/>
        <v>615560.60754314205</v>
      </c>
      <c r="K33" s="361">
        <f t="shared" si="8"/>
        <v>579793</v>
      </c>
      <c r="L33" s="361">
        <f t="shared" si="6"/>
        <v>615560.60754314205</v>
      </c>
    </row>
    <row r="34" spans="1:12" x14ac:dyDescent="0.3">
      <c r="C34" s="342"/>
      <c r="D34" s="342"/>
      <c r="E34" s="342"/>
      <c r="F34" s="342"/>
      <c r="G34" s="342"/>
      <c r="H34" s="342"/>
      <c r="I34" s="342"/>
      <c r="J34" s="342"/>
      <c r="K34" s="342"/>
      <c r="L34" s="342"/>
    </row>
    <row r="35" spans="1:12" x14ac:dyDescent="0.3">
      <c r="A35" s="364" t="s">
        <v>119</v>
      </c>
      <c r="C35" s="360">
        <f>SUM(C24:C34)</f>
        <v>14216324.885000002</v>
      </c>
      <c r="D35" s="360">
        <f>SUM(D24:D34)</f>
        <v>15561801.27</v>
      </c>
      <c r="E35" s="360">
        <f t="shared" ref="E35:G35" si="9">SUM(E24:E34)</f>
        <v>14151063.120000001</v>
      </c>
      <c r="F35" s="360">
        <f t="shared" si="9"/>
        <v>15917676.847439952</v>
      </c>
      <c r="G35" s="360">
        <f t="shared" si="9"/>
        <v>12685500</v>
      </c>
      <c r="H35" s="360">
        <f>SUM(H24:H34)</f>
        <v>13605487.973117847</v>
      </c>
      <c r="I35" s="360">
        <f>SUM(I24:I34)</f>
        <v>12685500</v>
      </c>
      <c r="J35" s="360">
        <f t="shared" ref="J35" si="10">SUM(J24:J34)</f>
        <v>13605487.973117847</v>
      </c>
      <c r="K35" s="360">
        <f t="shared" ref="K35" si="11">SUM(K24:K34)</f>
        <v>12685500</v>
      </c>
      <c r="L35" s="360">
        <f t="shared" ref="L35" si="12">SUM(L24:L34)</f>
        <v>13605487.973117847</v>
      </c>
    </row>
    <row r="36" spans="1:12" x14ac:dyDescent="0.3">
      <c r="B36" s="363" t="s">
        <v>117</v>
      </c>
      <c r="C36" s="360">
        <v>0</v>
      </c>
      <c r="D36" s="360">
        <v>0</v>
      </c>
      <c r="E36" s="360">
        <v>0</v>
      </c>
      <c r="F36" s="360">
        <v>0</v>
      </c>
      <c r="G36" s="360">
        <v>-300000</v>
      </c>
      <c r="H36" s="360">
        <v>0</v>
      </c>
      <c r="I36" s="360">
        <f>+G36</f>
        <v>-300000</v>
      </c>
      <c r="J36" s="360">
        <v>0</v>
      </c>
      <c r="K36" s="360">
        <f>+I36</f>
        <v>-300000</v>
      </c>
      <c r="L36" s="360">
        <v>0</v>
      </c>
    </row>
    <row r="37" spans="1:12" x14ac:dyDescent="0.3">
      <c r="B37" s="363" t="s">
        <v>118</v>
      </c>
      <c r="C37" s="361">
        <v>0</v>
      </c>
      <c r="D37" s="361">
        <v>0</v>
      </c>
      <c r="E37" s="361">
        <v>0</v>
      </c>
      <c r="F37" s="361">
        <v>0</v>
      </c>
      <c r="G37" s="361">
        <v>-100000</v>
      </c>
      <c r="H37" s="361">
        <v>0</v>
      </c>
      <c r="I37" s="361">
        <f>+G37</f>
        <v>-100000</v>
      </c>
      <c r="J37" s="361">
        <v>0</v>
      </c>
      <c r="K37" s="361">
        <f>+I37</f>
        <v>-100000</v>
      </c>
      <c r="L37" s="361">
        <v>0</v>
      </c>
    </row>
    <row r="38" spans="1:12" x14ac:dyDescent="0.3">
      <c r="B38" s="339"/>
    </row>
    <row r="39" spans="1:12" ht="15" thickBot="1" x14ac:dyDescent="0.35">
      <c r="B39" s="339"/>
      <c r="C39" s="307">
        <f>+C21-C35+C36+C37</f>
        <v>-410346.18500000238</v>
      </c>
      <c r="D39" s="307">
        <f>+D21-D35+D36+D37</f>
        <v>720862.61000000313</v>
      </c>
      <c r="E39" s="307">
        <f t="shared" ref="E39:F39" si="13">+E21-E35+E36+E37</f>
        <v>-716511.37000000104</v>
      </c>
      <c r="F39" s="307">
        <f t="shared" si="13"/>
        <v>-1563475.9974399526</v>
      </c>
      <c r="G39" s="307">
        <f>+G21-G35-G36-G37</f>
        <v>-1118856.3333333321</v>
      </c>
      <c r="H39" s="307">
        <f t="shared" ref="H39" si="14">+H21-H35+H36+H37</f>
        <v>-1030827.0531178489</v>
      </c>
      <c r="I39" s="307">
        <f>+I21-I35-I36-I37</f>
        <v>-1118856.3333333321</v>
      </c>
      <c r="J39" s="307">
        <f t="shared" ref="J39" si="15">+J21-J35+J36+J37</f>
        <v>-1030827.0531178489</v>
      </c>
      <c r="K39" s="307">
        <f>+K21-K35-K36-K37</f>
        <v>-1118856.3333333321</v>
      </c>
      <c r="L39" s="307">
        <f t="shared" ref="L39" si="16">+L21-L35+L36+L37</f>
        <v>-1030827.0531178489</v>
      </c>
    </row>
    <row r="40" spans="1:12" ht="15" thickTop="1" x14ac:dyDescent="0.3">
      <c r="B40" s="339"/>
    </row>
    <row r="41" spans="1:12" x14ac:dyDescent="0.3">
      <c r="B41" s="339"/>
    </row>
    <row r="44" spans="1:12" x14ac:dyDescent="0.3">
      <c r="A44" t="s">
        <v>113</v>
      </c>
      <c r="B44" t="s">
        <v>114</v>
      </c>
    </row>
    <row r="46" spans="1:12" ht="28.8" x14ac:dyDescent="0.3">
      <c r="A46" t="s">
        <v>158</v>
      </c>
      <c r="B46" s="367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0748B-9F2A-4BF8-B582-9E0DB2FEFEE3}">
  <sheetPr>
    <tabColor rgb="FFFF0000"/>
  </sheetPr>
  <dimension ref="A3:Q51"/>
  <sheetViews>
    <sheetView zoomScale="80" zoomScaleNormal="80" workbookViewId="0"/>
  </sheetViews>
  <sheetFormatPr defaultRowHeight="14.4" x14ac:dyDescent="0.3"/>
  <cols>
    <col min="1" max="1" width="35.88671875" bestFit="1" customWidth="1"/>
    <col min="2" max="3" width="13.33203125" bestFit="1" customWidth="1"/>
    <col min="4" max="6" width="12.21875" bestFit="1" customWidth="1"/>
    <col min="7" max="7" width="15" bestFit="1" customWidth="1"/>
    <col min="8" max="9" width="12.77734375" bestFit="1" customWidth="1"/>
    <col min="10" max="10" width="17.6640625" customWidth="1"/>
    <col min="11" max="11" width="14.109375" customWidth="1"/>
    <col min="12" max="12" width="13.44140625" customWidth="1"/>
    <col min="13" max="13" width="13.33203125" bestFit="1" customWidth="1"/>
  </cols>
  <sheetData>
    <row r="3" spans="1:14" x14ac:dyDescent="0.3"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4" x14ac:dyDescent="0.3"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2"/>
    </row>
    <row r="5" spans="1:14" x14ac:dyDescent="0.3">
      <c r="A5" s="346"/>
      <c r="B5" s="347" t="s">
        <v>126</v>
      </c>
      <c r="C5" s="347" t="s">
        <v>127</v>
      </c>
      <c r="D5" s="347" t="s">
        <v>128</v>
      </c>
      <c r="E5" s="347" t="s">
        <v>129</v>
      </c>
      <c r="F5" s="347" t="s">
        <v>130</v>
      </c>
      <c r="G5" s="347" t="s">
        <v>132</v>
      </c>
      <c r="H5" s="347" t="s">
        <v>133</v>
      </c>
      <c r="I5" s="347" t="s">
        <v>134</v>
      </c>
      <c r="J5" s="347" t="s">
        <v>135</v>
      </c>
      <c r="K5" s="347" t="s">
        <v>136</v>
      </c>
      <c r="L5" s="347" t="s">
        <v>137</v>
      </c>
      <c r="M5" s="347" t="s">
        <v>138</v>
      </c>
      <c r="N5" s="342"/>
    </row>
    <row r="6" spans="1:14" x14ac:dyDescent="0.3">
      <c r="A6" s="346"/>
      <c r="B6" s="347"/>
      <c r="C6" s="347"/>
      <c r="D6" s="347"/>
      <c r="E6" s="347"/>
      <c r="F6" s="347"/>
      <c r="G6" s="348"/>
      <c r="H6" s="346"/>
      <c r="I6" s="346"/>
      <c r="J6" s="346"/>
      <c r="K6" s="346"/>
      <c r="L6" s="346"/>
      <c r="M6" s="346"/>
      <c r="N6" s="342"/>
    </row>
    <row r="7" spans="1:14" x14ac:dyDescent="0.3">
      <c r="A7" s="346" t="s">
        <v>131</v>
      </c>
      <c r="B7" s="352">
        <v>14486928</v>
      </c>
      <c r="C7" s="349">
        <v>14154503</v>
      </c>
      <c r="D7" s="350">
        <v>8177379</v>
      </c>
      <c r="E7" s="350">
        <v>9344249</v>
      </c>
      <c r="F7" s="350">
        <v>4922704</v>
      </c>
      <c r="G7" s="350">
        <v>3500000</v>
      </c>
      <c r="H7" s="350">
        <f>+G7+'Spring 2021'!U95+Divisions!G39</f>
        <v>2597114.6765788328</v>
      </c>
      <c r="I7" s="350">
        <f>+H7+'Spring 2021'!X95+Divisions!H39</f>
        <v>-121003.83530679904</v>
      </c>
      <c r="J7" s="350">
        <f>+I7+'Spring 2021'!Y95+Divisions!I39</f>
        <v>-2693982.4938706588</v>
      </c>
      <c r="K7" s="350">
        <f>+J7+'Spring 2021'!Z95+Divisions!J39</f>
        <v>-3671346.9179979507</v>
      </c>
      <c r="L7" s="350">
        <f>+K7+'Spring 2021'!AA95+Divisions!K39</f>
        <v>-3358223.5406471286</v>
      </c>
      <c r="M7" s="351">
        <f>+L7+'Spring 2021'!AB95+Divisions!L39</f>
        <v>-1505703.1136415657</v>
      </c>
      <c r="N7" s="342"/>
    </row>
    <row r="8" spans="1:14" x14ac:dyDescent="0.3"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12" spans="1:14" x14ac:dyDescent="0.3">
      <c r="B12" t="s">
        <v>3</v>
      </c>
    </row>
    <row r="35" spans="1:17" x14ac:dyDescent="0.3">
      <c r="A35" t="s">
        <v>159</v>
      </c>
    </row>
    <row r="36" spans="1:17" x14ac:dyDescent="0.3"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</row>
    <row r="37" spans="1:17" x14ac:dyDescent="0.3">
      <c r="I37" s="309"/>
      <c r="J37" s="309"/>
      <c r="K37" s="309"/>
      <c r="L37" s="309"/>
    </row>
    <row r="38" spans="1:17" x14ac:dyDescent="0.3">
      <c r="I38" s="309"/>
      <c r="J38" s="309"/>
      <c r="K38" s="309"/>
      <c r="L38" s="309"/>
      <c r="M38" s="309"/>
      <c r="N38" s="309"/>
      <c r="O38" s="309"/>
      <c r="P38" s="309"/>
      <c r="Q38" s="309"/>
    </row>
    <row r="39" spans="1:17" x14ac:dyDescent="0.3">
      <c r="I39" s="309"/>
      <c r="J39" s="309"/>
      <c r="K39" s="309"/>
      <c r="L39" s="309"/>
      <c r="M39" s="309"/>
      <c r="N39" s="309"/>
      <c r="O39" s="309"/>
      <c r="P39" s="309"/>
      <c r="Q39" s="309"/>
    </row>
    <row r="40" spans="1:17" x14ac:dyDescent="0.3">
      <c r="I40" s="309"/>
      <c r="J40" s="309"/>
      <c r="K40" s="309"/>
      <c r="L40" s="309"/>
      <c r="M40" s="309"/>
      <c r="N40" s="309"/>
      <c r="O40" s="309"/>
      <c r="P40" s="309"/>
      <c r="Q40" s="309"/>
    </row>
    <row r="41" spans="1:17" x14ac:dyDescent="0.3">
      <c r="I41" s="309"/>
      <c r="J41" s="309"/>
      <c r="K41" s="309"/>
      <c r="L41" s="309"/>
      <c r="M41" s="309"/>
      <c r="N41" s="309"/>
      <c r="O41" s="309"/>
      <c r="P41" s="309"/>
      <c r="Q41" s="309"/>
    </row>
    <row r="42" spans="1:17" x14ac:dyDescent="0.3">
      <c r="I42" s="309"/>
      <c r="J42" s="309"/>
      <c r="K42" s="309"/>
      <c r="L42" s="309"/>
      <c r="M42" s="309"/>
      <c r="N42" s="309"/>
      <c r="O42" s="309"/>
      <c r="P42" s="309"/>
      <c r="Q42" s="309"/>
    </row>
    <row r="43" spans="1:17" x14ac:dyDescent="0.3">
      <c r="A43" s="309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</row>
    <row r="44" spans="1:17" x14ac:dyDescent="0.3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</row>
    <row r="45" spans="1:17" x14ac:dyDescent="0.3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</row>
    <row r="46" spans="1:17" x14ac:dyDescent="0.3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</row>
    <row r="47" spans="1:17" x14ac:dyDescent="0.3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</row>
    <row r="48" spans="1:17" x14ac:dyDescent="0.3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</row>
    <row r="49" spans="1:12" x14ac:dyDescent="0.3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</row>
    <row r="50" spans="1:12" x14ac:dyDescent="0.3"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</row>
    <row r="51" spans="1:12" x14ac:dyDescent="0.3"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</row>
  </sheetData>
  <phoneticPr fontId="31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Spring 2021</vt:lpstr>
      <vt:lpstr>Total ALA Payroll</vt:lpstr>
      <vt:lpstr>Revenue Pie Chart</vt:lpstr>
      <vt:lpstr>Divisions</vt:lpstr>
      <vt:lpstr>Liquidity - ST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Leon</dc:creator>
  <cp:lastModifiedBy>Denise Moritz</cp:lastModifiedBy>
  <cp:lastPrinted>2021-03-26T19:26:26Z</cp:lastPrinted>
  <dcterms:created xsi:type="dcterms:W3CDTF">2018-10-22T21:49:10Z</dcterms:created>
  <dcterms:modified xsi:type="dcterms:W3CDTF">2021-03-31T15:39:20Z</dcterms:modified>
</cp:coreProperties>
</file>